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6" activeTab="0"/>
  </bookViews>
  <sheets>
    <sheet name="ModeOperatoire" sheetId="1" r:id="rId1"/>
    <sheet name="Comptes" sheetId="2" r:id="rId2"/>
    <sheet name="Donnees" sheetId="3" r:id="rId3"/>
    <sheet name="Bq" sheetId="4" r:id="rId4"/>
    <sheet name="Esp" sheetId="5" r:id="rId5"/>
    <sheet name="Bilan" sheetId="6" r:id="rId6"/>
    <sheet name="Amortissements" sheetId="7" r:id="rId7"/>
    <sheet name="DonneesOld" sheetId="8" r:id="rId8"/>
  </sheets>
  <definedNames>
    <definedName name="_xlnm.Print_Area" localSheetId="6">'Amortissements'!$A$1:$J$6</definedName>
    <definedName name="_xlnm.Print_Area" localSheetId="5">'Bilan'!$A$1:$I$75</definedName>
    <definedName name="_xlnm.Print_Area" localSheetId="3">'Bq'!$A$1:$G$29</definedName>
    <definedName name="_xlnm.Print_Titles" localSheetId="3">'Bq'!$1:$1</definedName>
    <definedName name="_xlnm.Print_Area" localSheetId="1">'Comptes'!$A$1:$E$48</definedName>
    <definedName name="_xlnm.Print_Titles" localSheetId="1">'Comptes'!$1:$1</definedName>
    <definedName name="_xlnm.Print_Area" localSheetId="2">'Donnees'!$A$1:$J$636</definedName>
    <definedName name="_xlnm.Print_Titles" localSheetId="2">'Donnees'!$1:$1</definedName>
    <definedName name="_xlnm.Print_Titles" localSheetId="7">'DonneesOld'!$1:$1</definedName>
    <definedName name="_xlnm._FilterDatabase" localSheetId="7" hidden="1">'DonneesOld'!$A$1:$J$1001</definedName>
    <definedName name="_xlnm.Print_Area" localSheetId="4">'Esp'!$A$1:$K$19</definedName>
    <definedName name="_xlnm.Print_Titles" localSheetId="4">'Esp'!$1:$1</definedName>
    <definedName name="_xlnm.Print_Area" localSheetId="0">'ModeOperatoire'!$A$1:$C$91</definedName>
    <definedName name="BDDActivite">'Donnees'!$G$2:$G$612</definedName>
    <definedName name="BDDCpteCredit">'Donnees'!$E$2:$E$611</definedName>
    <definedName name="BDDCpteCreditOld">'DonneesOld'!$E$2:$E$1002</definedName>
    <definedName name="BDDCpteDebit">'Donnees'!$C$2:$C$611</definedName>
    <definedName name="BDDCpteDebitOld">'DonneesOld'!$C$2:$C$1002</definedName>
    <definedName name="BDDDate">'Donnees'!$B$2:$B$611</definedName>
    <definedName name="BDDDateOld">'DonneesOld'!$B$2:$B$1002</definedName>
    <definedName name="BDDMontant">'Donnees'!$I$2:$I$611</definedName>
    <definedName name="BDDMontantOld">'DonneesOld'!$I$2:$I$1002</definedName>
    <definedName name="BDDReleve">'Donnees'!$H$2:$H$611</definedName>
    <definedName name="BqCpteCredit">'Donnees'!$E$2:$E$634</definedName>
    <definedName name="BqCpteDebit">'Donnees'!$C$2:$C$634</definedName>
    <definedName name="BqMontant">'Donnees'!$I$2:$I$634</definedName>
    <definedName name="BqReleve">'Donnees'!$H$2:$H$634</definedName>
    <definedName name="Liste_comptes">'Comptes'!$A$1:$B$44</definedName>
  </definedNames>
  <calcPr fullCalcOnLoad="1"/>
</workbook>
</file>

<file path=xl/sharedStrings.xml><?xml version="1.0" encoding="utf-8"?>
<sst xmlns="http://schemas.openxmlformats.org/spreadsheetml/2006/main" count="2623" uniqueCount="572">
  <si>
    <t>Le présent fichier n'est pas une application, mais un exemple à adapter.</t>
  </si>
  <si>
    <t>La personne qui fait les saisies doit bien maîtriser le tableur.</t>
  </si>
  <si>
    <t>Fonctionnalités assurées</t>
  </si>
  <si>
    <t>Comptabilité générale en parties doubles, avec rapprochements bancaires et vérification de la caisse.</t>
  </si>
  <si>
    <t>Bilan et compte d'exploitation calculés automatiquement à tous moments</t>
  </si>
  <si>
    <t>Comparaison à la même date des comptes d'exploitation de l'année en cours avec l'année précédente.</t>
  </si>
  <si>
    <t>Calcul du solde prévisionnel du compte bancaire (suivi de trésorerie).</t>
  </si>
  <si>
    <t>La TVA pourrait être prise en compte en décomposant en 3 la colonne "montants" de la feuille "Donnees": HT, TVA et TTC</t>
  </si>
  <si>
    <t>Il serait facile de rajouter une colonne à la feuille "Donnees" pour faire une comptabilité analytique</t>
  </si>
  <si>
    <t>(cette colonne a été supprimée pour simplifier cet exemple).</t>
  </si>
  <si>
    <t>Avantages obtenus</t>
  </si>
  <si>
    <t>En ajoutant le chèque emploi associatif, cette méthode permet d'éviter un cabinet comptable ou un logiciel spécialisé.</t>
  </si>
  <si>
    <t>Elle est opérationnelle depuis 2001 dans une association de 100 000 € de chiffre d'affaires annuel.</t>
  </si>
  <si>
    <t>Le trésorier qui a succédé à l'auteur a adopté l'outil sans difficulté, il est content de son efficacité.</t>
  </si>
  <si>
    <t>Le temps de saisie est marginal par rapport au paiement des factures et la remise en banque des chèques.</t>
  </si>
  <si>
    <t>L'entraide technique est facilitée si LibreOffice est aussi utilisé pour les autres fichiers de l'association (adhérents, activités...)</t>
  </si>
  <si>
    <t>L'usage de LibreOffice permet aux bénévoles de travailler chez eux sans avoir à payer de licences logicielles.</t>
  </si>
  <si>
    <t>Remarques techniques</t>
  </si>
  <si>
    <t>La fonction SOMMEPROD() est très utilisée. Une autre formule utile est RECHERCHEV().</t>
  </si>
  <si>
    <t>Voir les noms qu'il a été nécessaire de définir (menu "Insertion Noms Définir")</t>
  </si>
  <si>
    <t>Le fichier supporte parfaitement d'être enregistré sous d'autres formats (pas de macros)</t>
  </si>
  <si>
    <t>Feuille "Comptes"</t>
  </si>
  <si>
    <t>La liste des comptes utilisés est la première chose à faire pour démarrer une comptabilité (colonnes A et B)</t>
  </si>
  <si>
    <t>Le plan comptable officiel est facile à trouver sur internet.</t>
  </si>
  <si>
    <t>Les colonnes C, D et E indiquent le débit, le crédit et le solde de chaque compte pour l'année en cours.</t>
  </si>
  <si>
    <t>Les 3 autres colonnes, synthèse de la feuille "DonneesOld", rappellent les chiffres de l'année précédente.</t>
  </si>
  <si>
    <t>La date choisie pour faire les comparaisons entre les deux années est saisie en cellule E46 (ici 15 avril)</t>
  </si>
  <si>
    <t>Feuille "Donnees"</t>
  </si>
  <si>
    <t>On y porte les écritures en parties doubles.</t>
  </si>
  <si>
    <t>Certaines écritures prévisionnelles sont portées pour permettre une appréciation prévisionnelle de la trésorerie.</t>
  </si>
  <si>
    <t>L'usage de "Données Filtre Autofiltre" est très pratique sur cette feuille.</t>
  </si>
  <si>
    <t>Feuille "Bq"</t>
  </si>
  <si>
    <t>Elle vérifie la cohérence avec les relevés bancaires et indique le solde prévisionnel du compte.</t>
  </si>
  <si>
    <t>Une ligne en bas de tableau fait apparaître des erreurs éventuelles.</t>
  </si>
  <si>
    <t>On pourrait remplacer le N° de relevé par la date indiquée sur le relevé bancaire.</t>
  </si>
  <si>
    <t>On gère ici 2 comptes bancaires (512000 et 512100), un seul fait l'objet d'un suivi détaillé.</t>
  </si>
  <si>
    <t>Feuille "Esp"</t>
  </si>
  <si>
    <t>Elle permet de vérifier la caisse (espèces)</t>
  </si>
  <si>
    <t>Feuille "Bilan"</t>
  </si>
  <si>
    <t>Elle donne le bilan et le compte d'exploitation à chaque instant.</t>
  </si>
  <si>
    <t>Si le passif n'est pas égal à l'actif, une erreur est à corriger.</t>
  </si>
  <si>
    <t>Les chiffres de l'année précédente sont calculés à une date choisie sur la feuille "comptes" pour faire des comparaisons.</t>
  </si>
  <si>
    <t>On y porte aussi les totaux complets des années précédentes</t>
  </si>
  <si>
    <t>Feuille "amortissements"</t>
  </si>
  <si>
    <t>C'est une annexe pour calculer les amortissements</t>
  </si>
  <si>
    <t>Feuille "DonneesOld"</t>
  </si>
  <si>
    <t>C'est la même que la feuille "Donnees", mais pour l'année précédente.</t>
  </si>
  <si>
    <t>MODE OPÉRATOIRE DÉTAILLÉ POUR LES SAISIES COMPTABLES (à personnaliser)</t>
  </si>
  <si>
    <t>Comptes de classe 1, capitaux</t>
  </si>
  <si>
    <t>Leur solde apparaît au passif du bilan.</t>
  </si>
  <si>
    <t>C'est la somme des résultats historiques positifs et négatifs, elle figure au passif du bilan.</t>
  </si>
  <si>
    <t>Il est calculé dans la feuille "Bilan".
Il est reporté l'année suivante dans le compte 110000.</t>
  </si>
  <si>
    <t>Comptes de classe 2, immobilisations</t>
  </si>
  <si>
    <t>Leur solde apparaît à l'actif du bilan.</t>
  </si>
  <si>
    <t>Seules les dépenses importantes (&gt; 500 € HT) et ne correspondant pas à de l'entretien (donc : matériel potentiellement revendable) sont passées en investissement.
Le tableau de la feuille "Amortissements" doit être complété à chaque investissement</t>
  </si>
  <si>
    <t>Lors de l'initialisation d'un exercice, y reporter en crédit les amortissements passés (selon le bilan N-1).
Ajouter les amortissements de l'année sur investissements antérieurs (voir 680000 et feuille "amortissements").
Ajouter en cours d'année les amortissements sur les nouveaux investissements (voir 680000.</t>
  </si>
  <si>
    <t>Comptes de classe 3, stocks et en-cours</t>
  </si>
  <si>
    <t>Non utilisés ici, les stocks ne sont pas suivis.</t>
  </si>
  <si>
    <t>Comptes de classe 4, comptes de tiers</t>
  </si>
  <si>
    <t>Les dettes apparaissent au passif du bilan.</t>
  </si>
  <si>
    <t>Il s'agit des charges sociales de l'année précédente payées dans l'année en cours.
Lors de la clôture, on les inscrits en débit aux comptes 645000 et en crédit au compte 430000.
Lors de l'initialisation, on reporte le solde créditeur N-1 du compte 430000. Une seconde écriture, prévisionnelle, couvre le paiement effectif (comptes 430000 et 512000).</t>
  </si>
  <si>
    <t>Pour les chèques émis non encaissés, on opère comme pour les charges sociales.
Pour les charges constatées non payées telles la taxe d'habitation de janvier à septembre, la seconde écriture transfère le montant du débit du compte 468600 au crédit du compte 6xxxxx. Le paiement effectif du montant annuel (janvier à décembre) est imputé au débit du compte 6xxxxx.
On néglige les reports de charges faibles telles que EDF, téléphone...</t>
  </si>
  <si>
    <t>Comptes de classe 5, financiers</t>
  </si>
  <si>
    <t>Les montants des chèques mis en banque immédiatement et à encaisser ultérieurement sont inscrits globalement en crédit sur les comptes de produits concernés.
Les chèques à encaisser ultérieurement sont repris un à un, nominativement, en débit du compte 511200 et en crédit du compte 512000.
Lors de leur remise en banque, ils sont repris en crédit du compte 511200 et en débit du compte 512000.
Les deux écritures qui équilibrent le compte 511200 sont passées en couleur bleu (suivi des mises en banque ultérieures).
Feuille "Donnees" : une colonne à droite permet de filtrer tous les mouvements affectant le compte 511200.
Les écritures non compensées en fin d'exercice sont reportées sur l'exercice suivant.</t>
  </si>
  <si>
    <t>Ce qui est mis en "débit" de ce compte se retrouve dans la colonne "crédit" des relevés bancaires.</t>
  </si>
  <si>
    <t>Feuille "Donnees" : une colonne à droite permet de filtrer tous les mouvements affectant la caisse</t>
  </si>
  <si>
    <t>Comptes de classe 6, charges</t>
  </si>
  <si>
    <t>Un achat se traduit souvent par un débit sur ce compte, et un crédit sur le compte 512000 ou 530000.</t>
  </si>
  <si>
    <t>Mettre la consommation en kW dans le champ "Précision"</t>
  </si>
  <si>
    <t>Mettre la consommation en m3 dans le champ "Précision"</t>
  </si>
  <si>
    <t>Mettre le nombre de litres de fuel dans le champ "Précision"</t>
  </si>
  <si>
    <t>Mettre le bénéficiaire en "Précision"</t>
  </si>
  <si>
    <t>Y mettre en débit les amortissements de l'année (voir 281000 et feuille "amortissements").</t>
  </si>
  <si>
    <t>Comptes de classe 7, produits</t>
  </si>
  <si>
    <t>Une recette se traduit souvent par un crédit sur ce compte et un débit sur le compte 512000 ou 530000.</t>
  </si>
  <si>
    <t>Bilan</t>
  </si>
  <si>
    <t>L'année en cours et l'année précédente sont comparées à la date saisie dans la feuille "Comptes" (ici 15 avril).</t>
  </si>
  <si>
    <t>Chèque</t>
  </si>
  <si>
    <t>On y précise le mode de paiement (N° du chèque, TIP, Prélèv, Vir, Rem Chq, Versem esp …).</t>
  </si>
  <si>
    <t>Clôture</t>
  </si>
  <si>
    <t>Après présentation des comptes à l'Assemblée Générale, les données comptables de la feuille "données" ne doivent plus être modifiées. Par contre, il peut y avoir des corrections non comptables (changement du format du fichier en cas de changement de logiciel…).</t>
  </si>
  <si>
    <t>Cohérence</t>
  </si>
  <si>
    <t>Vérifier la banque chaque quinzaine (feuille "Bq").
Vérifier la caisse environ 2 fois par mois (feuille "Esp").
Vérifier que le bilan est équilibré (feuille "Bilan"). En cas d'incohérence, on peut, sur une copie du fichier, supprimer peu à peu des écritures pour voir lesquelles sont en cause.
Analyser les résultats de la feuille "Bilan", corriger les imputations le cas échéant.
Vérifier que les rares cas où l'on trouve des comptes 6xxxxxx en crédit ou des comptes 7xxxxx en débit sont normaux. Pour cela, utiliser le menu "Données Filtre" sur la feuille "Donnees".</t>
  </si>
  <si>
    <t>Compte</t>
  </si>
  <si>
    <t>Voir la feuille "Comptes" qui en donne la liste.
Quand un même mouvement concerne plusieurs comptes, il est décomposé en plusieurs lignes.
Quand on hésite sur le choix du compte, il faut chercher à faire "comme avant" pour que les comparaisons d'une année à l'autre soient significatives.</t>
  </si>
  <si>
    <t>Donnees</t>
  </si>
  <si>
    <t>L'édition d'un livre journal et d'un "grand livre" serait facile par tri des écritures de cette feuille et utilisation de la fonction "Données Sous-totaux". Mais c'est parfaitement inutile.</t>
  </si>
  <si>
    <t>Initialisation d'un nouvel exercice</t>
  </si>
  <si>
    <t>Les soldes des comptes des classes 1 à 5 sont reportés d'un exercice au suivant.
Les soldes des comptes de classes 6 et 7 sont reportés via le résultat (compte 120000).</t>
  </si>
  <si>
    <t>LibelleCompte</t>
  </si>
  <si>
    <t>Le libellé est issu de la liste de la feuille "Comptes" par une formule utilisant la fonction RECHERCHEV().</t>
  </si>
  <si>
    <t>Précision</t>
  </si>
  <si>
    <t>On peut y préciser le nom de la personne concernée ou de quelle dépense il s'agit.
Essayer de reprendre les libellés déjà utilisés pour faciliter des analyses extra-comptables.
Inutile de répéter ce que dit déjà le libellé du compte ou l'activité.</t>
  </si>
  <si>
    <t>Releve</t>
  </si>
  <si>
    <t>N° de relevé bancaire de quinzaine, porté en prévisionnel (en rouge) puis corrigé après pointage avec les relevés et mis en noir.
La feuille "Bq" permet de vérifier que le total de quinzaine est bon.</t>
  </si>
  <si>
    <t>Libelle</t>
  </si>
  <si>
    <t>Débit</t>
  </si>
  <si>
    <t>Crédit</t>
  </si>
  <si>
    <t>Solde
Déb-Créd</t>
  </si>
  <si>
    <t>DébitOld</t>
  </si>
  <si>
    <t>CréditOld</t>
  </si>
  <si>
    <t>Report à nouveau</t>
  </si>
  <si>
    <t>Résultat de l'exercice en cours</t>
  </si>
  <si>
    <t>Immobilisations corporelles</t>
  </si>
  <si>
    <t>Amortissements</t>
  </si>
  <si>
    <t>Org sociaux charges à payer</t>
  </si>
  <si>
    <t>Charges diverses à payer</t>
  </si>
  <si>
    <t>Chèques à encaisser</t>
  </si>
  <si>
    <t>Banque</t>
  </si>
  <si>
    <t>Cpte sur livret</t>
  </si>
  <si>
    <t>Caisse</t>
  </si>
  <si>
    <t>EDF</t>
  </si>
  <si>
    <t>Eau</t>
  </si>
  <si>
    <t>Fuel &amp; gaz</t>
  </si>
  <si>
    <t>Petit équipement</t>
  </si>
  <si>
    <t>Fourn. administratives &amp; maintenance</t>
  </si>
  <si>
    <t>Alimentation &amp; consommables</t>
  </si>
  <si>
    <t>Location site 1</t>
  </si>
  <si>
    <t>Location site 2</t>
  </si>
  <si>
    <t>Entretien et réparations</t>
  </si>
  <si>
    <t>Assurances</t>
  </si>
  <si>
    <t>Honoraires</t>
  </si>
  <si>
    <t>Déplacements et réceptions</t>
  </si>
  <si>
    <t>Frais postaux</t>
  </si>
  <si>
    <t>Téléphone et internet</t>
  </si>
  <si>
    <t>Services bancaires</t>
  </si>
  <si>
    <t>Impôts et taxes</t>
  </si>
  <si>
    <t>Salaires</t>
  </si>
  <si>
    <t>Cotisations sociales</t>
  </si>
  <si>
    <t>Charges exceptionnelles</t>
  </si>
  <si>
    <t>Dotation aux amortissements</t>
  </si>
  <si>
    <t>Activités site A</t>
  </si>
  <si>
    <t>Hébergement site B</t>
  </si>
  <si>
    <t>Alimentation site B</t>
  </si>
  <si>
    <t>Animation site B</t>
  </si>
  <si>
    <t>Activités site C</t>
  </si>
  <si>
    <t>Activités site D</t>
  </si>
  <si>
    <t>Abonnement revue</t>
  </si>
  <si>
    <t>Dons</t>
  </si>
  <si>
    <t>Cotisations des adhérents</t>
  </si>
  <si>
    <t>Produits divers</t>
  </si>
  <si>
    <t>Int c/c créditeurs</t>
  </si>
  <si>
    <t>Report+1</t>
  </si>
  <si>
    <t>Report vers l'année suivante</t>
  </si>
  <si>
    <t>Report-1</t>
  </si>
  <si>
    <t>Report de l'année précédente</t>
  </si>
  <si>
    <t>Date limite pour comparer les deux années au même moment</t>
  </si>
  <si>
    <t>Année en cours</t>
  </si>
  <si>
    <t>Année précédente</t>
  </si>
  <si>
    <t>Piece</t>
  </si>
  <si>
    <t>DatePiece</t>
  </si>
  <si>
    <t>CpteDebit</t>
  </si>
  <si>
    <t>LibelleDebit</t>
  </si>
  <si>
    <t>CpteCredit</t>
  </si>
  <si>
    <t>LibelleCredit</t>
  </si>
  <si>
    <t>Cheque</t>
  </si>
  <si>
    <t>Montant</t>
  </si>
  <si>
    <t>Caisse?</t>
  </si>
  <si>
    <t>Excédents antérieurs</t>
  </si>
  <si>
    <t>Excédent de l'année</t>
  </si>
  <si>
    <t>Amortissements antérieurs</t>
  </si>
  <si>
    <t>Sur achats avant 1/10/1999</t>
  </si>
  <si>
    <t>Réfrigérateur</t>
  </si>
  <si>
    <t>Taxe d'habitation début 2005</t>
  </si>
  <si>
    <t>Versem esp</t>
  </si>
  <si>
    <t>30€ encaissés en 10/2006</t>
  </si>
  <si>
    <t>B06-19</t>
  </si>
  <si>
    <t>Chq 2996047</t>
  </si>
  <si>
    <t>Chq 2996048</t>
  </si>
  <si>
    <t>Chq 2996049</t>
  </si>
  <si>
    <t>Rem Chq</t>
  </si>
  <si>
    <t>Vir</t>
  </si>
  <si>
    <t>Chq 2996050</t>
  </si>
  <si>
    <t>Chq 2996051</t>
  </si>
  <si>
    <t>Versement du 12/7/06</t>
  </si>
  <si>
    <t>Chq 2996052</t>
  </si>
  <si>
    <t>B06-20</t>
  </si>
  <si>
    <t>Chq 2996053</t>
  </si>
  <si>
    <t>Prélèv</t>
  </si>
  <si>
    <t>Loyer site2 2006/10</t>
  </si>
  <si>
    <t>Chq 2996054</t>
  </si>
  <si>
    <t>1132 kW</t>
  </si>
  <si>
    <t xml:space="preserve"> </t>
  </si>
  <si>
    <t>Chq 2996055</t>
  </si>
  <si>
    <t>Internet</t>
  </si>
  <si>
    <t>Chq 2996056</t>
  </si>
  <si>
    <t>Chq 2996057</t>
  </si>
  <si>
    <t>Pain</t>
  </si>
  <si>
    <t>Chq 2996060</t>
  </si>
  <si>
    <t>Chq 2996058</t>
  </si>
  <si>
    <t>Bricolage</t>
  </si>
  <si>
    <t>Chq 2996059</t>
  </si>
  <si>
    <t>Chq 2996061</t>
  </si>
  <si>
    <t>B06-21</t>
  </si>
  <si>
    <t>Chq 2996062</t>
  </si>
  <si>
    <t>Chq 2996063</t>
  </si>
  <si>
    <t>Chq 2996064</t>
  </si>
  <si>
    <t>B06-22</t>
  </si>
  <si>
    <t>Produits entretien</t>
  </si>
  <si>
    <t>Arrhes</t>
  </si>
  <si>
    <t>TIP</t>
  </si>
  <si>
    <t>Chq 2996065</t>
  </si>
  <si>
    <t>Loyer site2 2006/11</t>
  </si>
  <si>
    <t>Chq 2996066</t>
  </si>
  <si>
    <t>Gaz</t>
  </si>
  <si>
    <t>Chq 2996067</t>
  </si>
  <si>
    <t>Chq 2996068</t>
  </si>
  <si>
    <t>Jean</t>
  </si>
  <si>
    <t>Chq 2996069</t>
  </si>
  <si>
    <t>B06-23</t>
  </si>
  <si>
    <t>Matelas</t>
  </si>
  <si>
    <t>Chq 2996070</t>
  </si>
  <si>
    <t>Fuite eau</t>
  </si>
  <si>
    <t>Chq 2996071</t>
  </si>
  <si>
    <t>Chq 2996072</t>
  </si>
  <si>
    <t>Chq 2996073</t>
  </si>
  <si>
    <t>Chq 2996074</t>
  </si>
  <si>
    <t>Chq 2996075</t>
  </si>
  <si>
    <t>AG</t>
  </si>
  <si>
    <t>Chq 2996076</t>
  </si>
  <si>
    <t>Loyer site2 2006/12</t>
  </si>
  <si>
    <t>Chq 2996077</t>
  </si>
  <si>
    <t>B06-24</t>
  </si>
  <si>
    <t>Chq 2996078</t>
  </si>
  <si>
    <t>Fuel 3887 l</t>
  </si>
  <si>
    <t>223 m3</t>
  </si>
  <si>
    <t>Chq 2996080</t>
  </si>
  <si>
    <t>Chq 2996079</t>
  </si>
  <si>
    <t>Pauline</t>
  </si>
  <si>
    <t>318 kWh</t>
  </si>
  <si>
    <t>Chq 7952302</t>
  </si>
  <si>
    <t>Chq 2996081</t>
  </si>
  <si>
    <t>5850082 annulé</t>
  </si>
  <si>
    <t>CEA 5850083</t>
  </si>
  <si>
    <t>B07-01</t>
  </si>
  <si>
    <t>CEA 5850084</t>
  </si>
  <si>
    <t>B07-03</t>
  </si>
  <si>
    <t>Chq 7952303</t>
  </si>
  <si>
    <t>Chq 7952304</t>
  </si>
  <si>
    <t>Chq 7952305</t>
  </si>
  <si>
    <t>B07-02</t>
  </si>
  <si>
    <t>Solde 2006</t>
  </si>
  <si>
    <t>Chq 7952306</t>
  </si>
  <si>
    <t>Tondeuse réparation</t>
  </si>
  <si>
    <t>Chq 7952307</t>
  </si>
  <si>
    <t>Loyer site2 2007/01</t>
  </si>
  <si>
    <t>Chq 7952309</t>
  </si>
  <si>
    <t>Chq 7952308</t>
  </si>
  <si>
    <t>Chq 7952310</t>
  </si>
  <si>
    <t>Réchaud</t>
  </si>
  <si>
    <t>Chq 7952311</t>
  </si>
  <si>
    <t>Chq 7952312</t>
  </si>
  <si>
    <t>Chq 7952313</t>
  </si>
  <si>
    <t>Chq 7952314</t>
  </si>
  <si>
    <t>Chasses d'eau</t>
  </si>
  <si>
    <t>Loyer site2 2007/02</t>
  </si>
  <si>
    <t>Chq 7952315</t>
  </si>
  <si>
    <t>Chq 7952316</t>
  </si>
  <si>
    <t>B07-04</t>
  </si>
  <si>
    <t>Chq 7952317</t>
  </si>
  <si>
    <t>Chq 7952318</t>
  </si>
  <si>
    <t>Marie</t>
  </si>
  <si>
    <t>CEA 5850086</t>
  </si>
  <si>
    <t>B07-05</t>
  </si>
  <si>
    <t>Voiture</t>
  </si>
  <si>
    <t>Chq 7952319</t>
  </si>
  <si>
    <t>Chq 7952320</t>
  </si>
  <si>
    <t>Chq 7952321</t>
  </si>
  <si>
    <t>Fuel 3724 l</t>
  </si>
  <si>
    <t>Toner et tambours</t>
  </si>
  <si>
    <t>Chq 7952322</t>
  </si>
  <si>
    <t>Chq 7952323</t>
  </si>
  <si>
    <t>Chq 7952324</t>
  </si>
  <si>
    <t>Chq 7952325</t>
  </si>
  <si>
    <t>Loyer site2 2007/03</t>
  </si>
  <si>
    <t>Chq 7952326</t>
  </si>
  <si>
    <t>B07-06</t>
  </si>
  <si>
    <t>Dépannage fuel</t>
  </si>
  <si>
    <t>CEA 5850087</t>
  </si>
  <si>
    <t>B07-07</t>
  </si>
  <si>
    <t>Chq 7952327</t>
  </si>
  <si>
    <t>Chq 2650822</t>
  </si>
  <si>
    <t>Chq 7952328</t>
  </si>
  <si>
    <t>Chq 7952329</t>
  </si>
  <si>
    <t>Chq 7952330</t>
  </si>
  <si>
    <t>Fuel 1623 l</t>
  </si>
  <si>
    <t>Chq 7952331</t>
  </si>
  <si>
    <t>Chq 7952332</t>
  </si>
  <si>
    <t>Chq 7952333</t>
  </si>
  <si>
    <t>Présentoirs</t>
  </si>
  <si>
    <t>Louche</t>
  </si>
  <si>
    <t>Chq 7952334</t>
  </si>
  <si>
    <t>Chq 7952335</t>
  </si>
  <si>
    <t>CEA 5850088</t>
  </si>
  <si>
    <t>B07-09</t>
  </si>
  <si>
    <t>Chq 7952336</t>
  </si>
  <si>
    <t>Architecte</t>
  </si>
  <si>
    <t>Chq 7952337</t>
  </si>
  <si>
    <t>B07-08</t>
  </si>
  <si>
    <t>Trop payé</t>
  </si>
  <si>
    <t>kW appt 986</t>
  </si>
  <si>
    <t>Assurance fuite eau</t>
  </si>
  <si>
    <t>Téléphone</t>
  </si>
  <si>
    <t>Chq 7952338</t>
  </si>
  <si>
    <t>Chq 7952339</t>
  </si>
  <si>
    <t>Loyer site2 2007/04</t>
  </si>
  <si>
    <t>Les opérations au-delà de cette ligne ne sont utilisées que pour la trésorerie prévisionnelle (voir feuille Bq)</t>
  </si>
  <si>
    <t>B07-11</t>
  </si>
  <si>
    <t>B07-13</t>
  </si>
  <si>
    <t>B07-15</t>
  </si>
  <si>
    <t>B07-17</t>
  </si>
  <si>
    <t>B07-18</t>
  </si>
  <si>
    <t>Taxe d'habitation début 2006</t>
  </si>
  <si>
    <t>Loyer site2 2007/05</t>
  </si>
  <si>
    <t>Loyer site2 2007/06</t>
  </si>
  <si>
    <t>Loyer site2 2007/07</t>
  </si>
  <si>
    <t>Loyer site2 2007/08</t>
  </si>
  <si>
    <t>Loyer site2 2007/09</t>
  </si>
  <si>
    <t>Ci-après, pour information, des écritures prévisionnelles pour l'exercice suivant</t>
  </si>
  <si>
    <t>B07-19</t>
  </si>
  <si>
    <t>B07-21</t>
  </si>
  <si>
    <t>Déb cpte
512000</t>
  </si>
  <si>
    <t>Créd cpte
512000</t>
  </si>
  <si>
    <t>Déb - Créd
512000</t>
  </si>
  <si>
    <t>Solde Bq
calculé</t>
  </si>
  <si>
    <t>Solde Bq
constaté</t>
  </si>
  <si>
    <t>Ecart éventuel
à corriger</t>
  </si>
  <si>
    <t>B07-10</t>
  </si>
  <si>
    <t>B07-12</t>
  </si>
  <si>
    <t>B07-14</t>
  </si>
  <si>
    <t>B07-16</t>
  </si>
  <si>
    <t>Total (€)</t>
  </si>
  <si>
    <t>Vérification</t>
  </si>
  <si>
    <t>Les nombres doivent être nuls</t>
  </si>
  <si>
    <t>(cette vérification a permis de repérer l'absence d'un N° de relevé bancaire en cellule H605 de la feuille "Donnees")</t>
  </si>
  <si>
    <t>Contrairement aux autre synthèses, ce tableau comprend les écritures prévisionnelles</t>
  </si>
  <si>
    <t>Du</t>
  </si>
  <si>
    <t>au</t>
  </si>
  <si>
    <t>Déb cpte
530000</t>
  </si>
  <si>
    <t>Créd cpte
530000</t>
  </si>
  <si>
    <t>Déb - Créd
530000</t>
  </si>
  <si>
    <t>Caisse
calculée</t>
  </si>
  <si>
    <t>Caisse
physique</t>
  </si>
  <si>
    <t>Sous-
caisses</t>
  </si>
  <si>
    <t>Ecart
cumulé</t>
  </si>
  <si>
    <t>Delta
écart</t>
  </si>
  <si>
    <t>Erreur non trouvée</t>
  </si>
  <si>
    <t>Fin de la feuille</t>
  </si>
  <si>
    <t>BILAN au 30 septembre</t>
  </si>
  <si>
    <t>2006/2007</t>
  </si>
  <si>
    <t>2005/2006</t>
  </si>
  <si>
    <t>2004/2005</t>
  </si>
  <si>
    <t>Total actif net immobilisé</t>
  </si>
  <si>
    <t>Compte sur livret</t>
  </si>
  <si>
    <t>Espèces</t>
  </si>
  <si>
    <t>Total actif circulant</t>
  </si>
  <si>
    <t>TOTAL DE L'ACTIF DU BILAN (€)</t>
  </si>
  <si>
    <t>Ecart actif-passif (doit être nul)</t>
  </si>
  <si>
    <t>Résultat de l'exercice</t>
  </si>
  <si>
    <t>Total des fonds propres</t>
  </si>
  <si>
    <t>Total des dettes</t>
  </si>
  <si>
    <t>TOTAL DU PASSIF DU BILAN (€)</t>
  </si>
  <si>
    <t>Compte d'exploitation du 1/10 au 30/9</t>
  </si>
  <si>
    <t>TOTAL DES PRODUITS (€)</t>
  </si>
  <si>
    <t>TOTAL DES CHARGES (€)</t>
  </si>
  <si>
    <t>RÉSULTAT (€)</t>
  </si>
  <si>
    <t>= date de comparaison</t>
  </si>
  <si>
    <t>IdF</t>
  </si>
  <si>
    <t>Province</t>
  </si>
  <si>
    <t>Stages extérieurs</t>
  </si>
  <si>
    <t>Cotisations</t>
  </si>
  <si>
    <t>Autres</t>
  </si>
  <si>
    <t>Total produits</t>
  </si>
  <si>
    <t>Fuel</t>
  </si>
  <si>
    <t>Locations</t>
  </si>
  <si>
    <t>Honoraires &amp; déplacements</t>
  </si>
  <si>
    <t>Salaires &amp; charges</t>
  </si>
  <si>
    <t>Total charges</t>
  </si>
  <si>
    <t>Produits – charges</t>
  </si>
  <si>
    <t>2000/2001</t>
  </si>
  <si>
    <t>2001/2002</t>
  </si>
  <si>
    <t>2002/2003</t>
  </si>
  <si>
    <t>2003/2004</t>
  </si>
  <si>
    <t>2007/2008</t>
  </si>
  <si>
    <t>2008/2009</t>
  </si>
  <si>
    <t>Achats antérieurs au 1/10/99</t>
  </si>
  <si>
    <t>Débroussailleuse</t>
  </si>
  <si>
    <t>Tracteur</t>
  </si>
  <si>
    <t>Déficit année précédente</t>
  </si>
  <si>
    <t>3T2005</t>
  </si>
  <si>
    <t>B05-20</t>
  </si>
  <si>
    <t>B05-21</t>
  </si>
  <si>
    <t>Taxe d'habitation</t>
  </si>
  <si>
    <t>Chq 9922899</t>
  </si>
  <si>
    <t>Chq 9922900</t>
  </si>
  <si>
    <t>Chq 9922898</t>
  </si>
  <si>
    <t>B05-19</t>
  </si>
  <si>
    <t>Chq 9922890</t>
  </si>
  <si>
    <t>Montant salaire erroné</t>
  </si>
  <si>
    <t>Pour annuler Chq 9922890</t>
  </si>
  <si>
    <t>Chq 9922888</t>
  </si>
  <si>
    <t>Chq 9922889</t>
  </si>
  <si>
    <t>Chq 9922891</t>
  </si>
  <si>
    <t>Chq 9922892</t>
  </si>
  <si>
    <t>Chq 9922893</t>
  </si>
  <si>
    <t>Chq 9922894</t>
  </si>
  <si>
    <t>Chq 9922895</t>
  </si>
  <si>
    <t>Chq 9922896</t>
  </si>
  <si>
    <t>Chq 9922897</t>
  </si>
  <si>
    <t>Chq 9922901</t>
  </si>
  <si>
    <t>Chq 9922902</t>
  </si>
  <si>
    <t>Chq 9922903</t>
  </si>
  <si>
    <t>Chq 9922904</t>
  </si>
  <si>
    <t>Chq 9922906</t>
  </si>
  <si>
    <t>Chq 9922905</t>
  </si>
  <si>
    <t>1999 litres</t>
  </si>
  <si>
    <t>Chq 9922907</t>
  </si>
  <si>
    <t>Chq 9922908</t>
  </si>
  <si>
    <t>Chq 9922909</t>
  </si>
  <si>
    <t>Chq 9922910</t>
  </si>
  <si>
    <t>Chq 9922912</t>
  </si>
  <si>
    <t>Chq 9922911</t>
  </si>
  <si>
    <t>Chq 9922913</t>
  </si>
  <si>
    <t>Chq 9922915</t>
  </si>
  <si>
    <t>B05-22</t>
  </si>
  <si>
    <t>Chq 9922914</t>
  </si>
  <si>
    <t>Chq 9922917</t>
  </si>
  <si>
    <t>B06-01</t>
  </si>
  <si>
    <t>Chq 9922918</t>
  </si>
  <si>
    <t>B05-23</t>
  </si>
  <si>
    <t>Chq 9922919</t>
  </si>
  <si>
    <t>Chq 2041922</t>
  </si>
  <si>
    <t>Chq 2041923</t>
  </si>
  <si>
    <t>Chq 2041924</t>
  </si>
  <si>
    <t>B05-24</t>
  </si>
  <si>
    <t>Chq 2041925</t>
  </si>
  <si>
    <t>Chq 2041926</t>
  </si>
  <si>
    <t>Chq 2041927</t>
  </si>
  <si>
    <t>Chq 2041928</t>
  </si>
  <si>
    <t>Chq 2041929</t>
  </si>
  <si>
    <t>Chq 2041930</t>
  </si>
  <si>
    <t>Chq 9922916</t>
  </si>
  <si>
    <t>Chq 2041931</t>
  </si>
  <si>
    <t>Chq 2041932</t>
  </si>
  <si>
    <t>B06-02</t>
  </si>
  <si>
    <t>Chq 2041933</t>
  </si>
  <si>
    <t>Chq 2041934</t>
  </si>
  <si>
    <t>Chq 2041936</t>
  </si>
  <si>
    <t>B06-03</t>
  </si>
  <si>
    <t>Chq 2041935</t>
  </si>
  <si>
    <t>Chq 2041937</t>
  </si>
  <si>
    <t>Chq 2041938</t>
  </si>
  <si>
    <t>Chq 2041939</t>
  </si>
  <si>
    <t>Chq 2041940</t>
  </si>
  <si>
    <t>Chq 2041941</t>
  </si>
  <si>
    <t>Chq 2041942</t>
  </si>
  <si>
    <t>Chq 2041943</t>
  </si>
  <si>
    <t>Chq 2041944</t>
  </si>
  <si>
    <t>Chq 2041945</t>
  </si>
  <si>
    <t>B06-04</t>
  </si>
  <si>
    <t>Chq 2041946</t>
  </si>
  <si>
    <t>Chq 2041947</t>
  </si>
  <si>
    <t>Chq 2041948</t>
  </si>
  <si>
    <t>Chq 2041949</t>
  </si>
  <si>
    <t>Chq 2041950</t>
  </si>
  <si>
    <t>Chq 2041951</t>
  </si>
  <si>
    <t>Chq 2041952</t>
  </si>
  <si>
    <t>Chq 2041953</t>
  </si>
  <si>
    <t>Chq 2041954</t>
  </si>
  <si>
    <t>Chq 2041955</t>
  </si>
  <si>
    <t>Chq 2041956</t>
  </si>
  <si>
    <t>B06-05</t>
  </si>
  <si>
    <t>Chq 2041957</t>
  </si>
  <si>
    <t>B06-06</t>
  </si>
  <si>
    <t>Chq 2041958</t>
  </si>
  <si>
    <t>Chq 2041959</t>
  </si>
  <si>
    <t>Chq 2041960</t>
  </si>
  <si>
    <t>Chq 3494842</t>
  </si>
  <si>
    <t>Chq 3494843</t>
  </si>
  <si>
    <t>Chq 3494844</t>
  </si>
  <si>
    <t>Chq 3494845</t>
  </si>
  <si>
    <t>B06-07</t>
  </si>
  <si>
    <t>Chq 3494846 annulé</t>
  </si>
  <si>
    <t>Chq 3494847</t>
  </si>
  <si>
    <t>Chq 3494848</t>
  </si>
  <si>
    <t>Chq 3494849</t>
  </si>
  <si>
    <t>Chq 3494850 annulé</t>
  </si>
  <si>
    <t>Chq 3494851</t>
  </si>
  <si>
    <t>Chq 3494852</t>
  </si>
  <si>
    <t>Chq 3494853</t>
  </si>
  <si>
    <t>Chq 3494854</t>
  </si>
  <si>
    <t>Chq 3494855</t>
  </si>
  <si>
    <t>Chq 3494856</t>
  </si>
  <si>
    <t>Chq 3494857</t>
  </si>
  <si>
    <t>B06-08</t>
  </si>
  <si>
    <t>B06-09</t>
  </si>
  <si>
    <t>Chq 3494858</t>
  </si>
  <si>
    <t>Chq 3494859</t>
  </si>
  <si>
    <t>Chq 3494860</t>
  </si>
  <si>
    <t>Chq 3494861</t>
  </si>
  <si>
    <t>Chq 3494862</t>
  </si>
  <si>
    <t>Chq 3494863</t>
  </si>
  <si>
    <t>Chq 3494864 annulé</t>
  </si>
  <si>
    <t>Chq 3494865</t>
  </si>
  <si>
    <t>Chq 3494866</t>
  </si>
  <si>
    <t>Chq 3494867</t>
  </si>
  <si>
    <t>Chq 3494868</t>
  </si>
  <si>
    <t>Chq 3494869</t>
  </si>
  <si>
    <t>B06-10</t>
  </si>
  <si>
    <t>B06-11</t>
  </si>
  <si>
    <t>Chq 3494870</t>
  </si>
  <si>
    <t>Chq 3494871</t>
  </si>
  <si>
    <t>Chq 3494872</t>
  </si>
  <si>
    <t>B06-12</t>
  </si>
  <si>
    <t>Chq 3494873</t>
  </si>
  <si>
    <t>Chq 3494874</t>
  </si>
  <si>
    <t>Chq 3494875</t>
  </si>
  <si>
    <t>Chq 3494876</t>
  </si>
  <si>
    <t>Chq 3494877</t>
  </si>
  <si>
    <t>Chq 3494878</t>
  </si>
  <si>
    <t>Chq 3494879</t>
  </si>
  <si>
    <t>Chq 3494880</t>
  </si>
  <si>
    <t>Chq 8985203</t>
  </si>
  <si>
    <t>Chq 8985204</t>
  </si>
  <si>
    <t>Chq 8985205</t>
  </si>
  <si>
    <t>Chq 8985206</t>
  </si>
  <si>
    <t>Chq 8985207</t>
  </si>
  <si>
    <t>Chq 8985208</t>
  </si>
  <si>
    <t>Chq 8985202</t>
  </si>
  <si>
    <t>Chq 8985209</t>
  </si>
  <si>
    <t>B06-13</t>
  </si>
  <si>
    <t>Chq 8985211</t>
  </si>
  <si>
    <t>Chq 8985212</t>
  </si>
  <si>
    <t>B06-14</t>
  </si>
  <si>
    <t>B06-15</t>
  </si>
  <si>
    <t>Chq 8985213</t>
  </si>
  <si>
    <t>Chq 2996045</t>
  </si>
  <si>
    <t>B06-18</t>
  </si>
  <si>
    <t>Chq 2996044</t>
  </si>
  <si>
    <t>Chq 8985214</t>
  </si>
  <si>
    <t>Chq 8985215</t>
  </si>
  <si>
    <t>Chq 8985216</t>
  </si>
  <si>
    <t>Chq 8985218</t>
  </si>
  <si>
    <t>Chq 8985217</t>
  </si>
  <si>
    <t>Chq 8985219</t>
  </si>
  <si>
    <t>Chq 8985220</t>
  </si>
  <si>
    <t>Chq 8985221</t>
  </si>
  <si>
    <t>Chq 8985222</t>
  </si>
  <si>
    <t>B06-16</t>
  </si>
  <si>
    <t>Chq 8985223</t>
  </si>
  <si>
    <t>Chq 8985224</t>
  </si>
  <si>
    <t>Chq 8985225</t>
  </si>
  <si>
    <t>Chq 8985226</t>
  </si>
  <si>
    <t>Chq 8985227</t>
  </si>
  <si>
    <t>Chq 8985228</t>
  </si>
  <si>
    <t>Chq 8985229</t>
  </si>
  <si>
    <t>Chq 8985230</t>
  </si>
  <si>
    <t>Chq 8985231</t>
  </si>
  <si>
    <t>B06-17</t>
  </si>
  <si>
    <t>Chq 8985232</t>
  </si>
  <si>
    <t>Chq 8985233</t>
  </si>
  <si>
    <t>Chq 8985234</t>
  </si>
  <si>
    <t>Chq 8985235 annulé</t>
  </si>
  <si>
    <t>Chq 8985240</t>
  </si>
  <si>
    <t>Chq 8985236</t>
  </si>
  <si>
    <t>Chq 8985237</t>
  </si>
  <si>
    <t>Chq 8985238</t>
  </si>
  <si>
    <t>Chq 8985239</t>
  </si>
  <si>
    <t>Chq 2996042</t>
  </si>
  <si>
    <t>Chq 2996043</t>
  </si>
  <si>
    <t>Chq 2996046</t>
  </si>
  <si>
    <t>Fin</t>
  </si>
</sst>
</file>

<file path=xl/styles.xml><?xml version="1.0" encoding="utf-8"?>
<styleSheet xmlns="http://schemas.openxmlformats.org/spreadsheetml/2006/main">
  <numFmts count="14">
    <numFmt numFmtId="164" formatCode="GENERAL"/>
    <numFmt numFmtId="165" formatCode="D/M/YY"/>
    <numFmt numFmtId="166" formatCode="#,##0"/>
    <numFmt numFmtId="167" formatCode="0.0;\-0.0"/>
    <numFmt numFmtId="168" formatCode="#,##0.00"/>
    <numFmt numFmtId="169" formatCode="0.0%"/>
    <numFmt numFmtId="170" formatCode="#,##0.00;\-#,##0.00"/>
    <numFmt numFmtId="171" formatCode="DD/MM/YY"/>
    <numFmt numFmtId="172" formatCode="0"/>
    <numFmt numFmtId="173" formatCode="0.00"/>
    <numFmt numFmtId="174" formatCode="@"/>
    <numFmt numFmtId="175" formatCode="0.00000"/>
    <numFmt numFmtId="176" formatCode="0%"/>
    <numFmt numFmtId="177" formatCode="D/MM"/>
  </numFmts>
  <fonts count="23">
    <font>
      <sz val="8"/>
      <name val="Arial"/>
      <family val="2"/>
    </font>
    <font>
      <sz val="10"/>
      <name val="Arial"/>
      <family val="0"/>
    </font>
    <font>
      <sz val="11"/>
      <name val="Arial"/>
      <family val="2"/>
    </font>
    <font>
      <i/>
      <sz val="9"/>
      <color indexed="10"/>
      <name val="Arial"/>
      <family val="2"/>
    </font>
    <font>
      <sz val="9"/>
      <name val="Arial"/>
      <family val="2"/>
    </font>
    <font>
      <b/>
      <sz val="10"/>
      <color indexed="21"/>
      <name val="Arial"/>
      <family val="2"/>
    </font>
    <font>
      <sz val="10"/>
      <color indexed="21"/>
      <name val="Arial"/>
      <family val="2"/>
    </font>
    <font>
      <b/>
      <sz val="9"/>
      <name val="Arial"/>
      <family val="2"/>
    </font>
    <font>
      <sz val="9"/>
      <color indexed="12"/>
      <name val="Arial"/>
      <family val="2"/>
    </font>
    <font>
      <b/>
      <sz val="9"/>
      <color indexed="12"/>
      <name val="Arial"/>
      <family val="2"/>
    </font>
    <font>
      <b/>
      <sz val="8"/>
      <name val="Arial"/>
      <family val="2"/>
    </font>
    <font>
      <sz val="8"/>
      <color indexed="12"/>
      <name val="Arial"/>
      <family val="2"/>
    </font>
    <font>
      <sz val="8"/>
      <color indexed="10"/>
      <name val="Arial"/>
      <family val="2"/>
    </font>
    <font>
      <b/>
      <sz val="8"/>
      <color indexed="10"/>
      <name val="Arial"/>
      <family val="2"/>
    </font>
    <font>
      <b/>
      <sz val="8"/>
      <color indexed="12"/>
      <name val="Arial"/>
      <family val="2"/>
    </font>
    <font>
      <i/>
      <sz val="8"/>
      <color indexed="10"/>
      <name val="Arial"/>
      <family val="2"/>
    </font>
    <font>
      <sz val="8"/>
      <color indexed="49"/>
      <name val="Arial"/>
      <family val="2"/>
    </font>
    <font>
      <b/>
      <sz val="11"/>
      <name val="Arial"/>
      <family val="2"/>
    </font>
    <font>
      <b/>
      <sz val="10"/>
      <name val="Arial"/>
      <family val="2"/>
    </font>
    <font>
      <b/>
      <sz val="10"/>
      <color indexed="12"/>
      <name val="Arial"/>
      <family val="2"/>
    </font>
    <font>
      <sz val="11"/>
      <color indexed="12"/>
      <name val="Arial"/>
      <family val="2"/>
    </font>
    <font>
      <b/>
      <sz val="11"/>
      <color indexed="12"/>
      <name val="Arial"/>
      <family val="2"/>
    </font>
    <font>
      <b/>
      <sz val="10"/>
      <color indexed="10"/>
      <name val="Arial"/>
      <family val="2"/>
    </font>
  </fonts>
  <fills count="2">
    <fill>
      <patternFill/>
    </fill>
    <fill>
      <patternFill patternType="gray125"/>
    </fill>
  </fills>
  <borders count="18">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color indexed="63"/>
      </right>
      <top>
        <color indexed="63"/>
      </top>
      <bottom style="thick">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11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5" fontId="0" fillId="0" borderId="0" applyFill="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7" fontId="0" fillId="0" borderId="0" applyFill="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7" fontId="0" fillId="0" borderId="0" applyFill="0" applyBorder="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8" fontId="0" fillId="0" borderId="0" applyFill="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8" fontId="0" fillId="0" borderId="0" applyFill="0" applyBorder="0" applyProtection="0">
      <alignment vertical="center"/>
    </xf>
    <xf numFmtId="164" fontId="2" fillId="0" borderId="0" applyFill="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3" fillId="0" borderId="0" applyNumberFormat="0" applyFill="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4" fontId="3" fillId="0" borderId="0" applyNumberFormat="0" applyFill="0" applyBorder="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pplyFill="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9" fontId="0" fillId="0" borderId="0" applyFill="0" applyBorder="0" applyProtection="0">
      <alignment vertical="center"/>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64" fontId="0" fillId="0" borderId="0" applyNumberFormat="0" applyFill="0" applyProtection="0">
      <alignment vertical="center" wrapText="1"/>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64" fontId="0" fillId="0" borderId="0" applyNumberFormat="0" applyFill="0" applyBorder="0" applyProtection="0">
      <alignment vertical="center" wrapText="1"/>
    </xf>
    <xf numFmtId="176" fontId="0" fillId="0" borderId="0" applyFill="0" applyBorder="0" applyProtection="0">
      <alignment vertical="center"/>
    </xf>
  </cellStyleXfs>
  <cellXfs count="183">
    <xf numFmtId="164" fontId="0" fillId="0" borderId="0" xfId="0" applyAlignment="1">
      <alignment vertical="center"/>
    </xf>
    <xf numFmtId="164" fontId="4" fillId="0" borderId="0" xfId="0" applyFont="1" applyBorder="1" applyAlignment="1">
      <alignment horizontal="center" vertical="center"/>
    </xf>
    <xf numFmtId="164" fontId="4" fillId="0" borderId="0" xfId="0" applyFont="1" applyBorder="1" applyAlignment="1">
      <alignment vertical="center"/>
    </xf>
    <xf numFmtId="164" fontId="5" fillId="0" borderId="0" xfId="72" applyFont="1" applyFill="1" applyBorder="1" applyAlignment="1" applyProtection="1">
      <alignment horizontal="left" vertical="center"/>
      <protection/>
    </xf>
    <xf numFmtId="164" fontId="6" fillId="0" borderId="0" xfId="72" applyFont="1" applyFill="1" applyBorder="1" applyAlignment="1" applyProtection="1">
      <alignment vertical="center"/>
      <protection/>
    </xf>
    <xf numFmtId="164" fontId="6" fillId="0" borderId="0" xfId="72" applyFont="1" applyFill="1" applyBorder="1" applyAlignment="1" applyProtection="1">
      <alignment horizontal="left" vertical="center"/>
      <protection/>
    </xf>
    <xf numFmtId="164" fontId="1" fillId="0" borderId="0" xfId="72" applyFont="1" applyFill="1" applyBorder="1" applyAlignment="1" applyProtection="1">
      <alignment vertical="center"/>
      <protection/>
    </xf>
    <xf numFmtId="164" fontId="4" fillId="0" borderId="0" xfId="0" applyFont="1" applyFill="1" applyBorder="1" applyAlignment="1">
      <alignment vertical="center"/>
    </xf>
    <xf numFmtId="164" fontId="4" fillId="0" borderId="0" xfId="0" applyFont="1" applyBorder="1" applyAlignment="1">
      <alignment vertical="center" wrapText="1"/>
    </xf>
    <xf numFmtId="164" fontId="4" fillId="0" borderId="0" xfId="0" applyFont="1" applyBorder="1" applyAlignment="1">
      <alignment horizontal="left" vertical="center"/>
    </xf>
    <xf numFmtId="164" fontId="7" fillId="0" borderId="0" xfId="0" applyFont="1" applyFill="1" applyBorder="1" applyAlignment="1">
      <alignment vertical="center"/>
    </xf>
    <xf numFmtId="164" fontId="4" fillId="0" borderId="1" xfId="0" applyFont="1" applyBorder="1" applyAlignment="1">
      <alignment horizontal="center" vertical="center"/>
    </xf>
    <xf numFmtId="164" fontId="4" fillId="0" borderId="1" xfId="0" applyFont="1" applyFill="1" applyBorder="1" applyAlignment="1">
      <alignment vertical="center"/>
    </xf>
    <xf numFmtId="164" fontId="4" fillId="0" borderId="1" xfId="0" applyFont="1" applyBorder="1" applyAlignment="1">
      <alignment vertical="center" wrapText="1"/>
    </xf>
    <xf numFmtId="164" fontId="4" fillId="0" borderId="1" xfId="0" applyFont="1" applyFill="1" applyBorder="1" applyAlignment="1">
      <alignment horizontal="center" vertical="center"/>
    </xf>
    <xf numFmtId="164" fontId="4" fillId="0" borderId="1" xfId="0" applyFont="1" applyFill="1" applyBorder="1" applyAlignment="1">
      <alignment vertical="center" wrapText="1"/>
    </xf>
    <xf numFmtId="164" fontId="4" fillId="0" borderId="0" xfId="0" applyFont="1" applyAlignment="1">
      <alignment horizontal="left" vertical="center"/>
    </xf>
    <xf numFmtId="164" fontId="4" fillId="0" borderId="0" xfId="0" applyFont="1" applyAlignment="1">
      <alignment vertical="center"/>
    </xf>
    <xf numFmtId="164" fontId="8" fillId="0" borderId="0" xfId="0" applyFont="1" applyAlignment="1">
      <alignment vertical="center"/>
    </xf>
    <xf numFmtId="164" fontId="7" fillId="0" borderId="2" xfId="72" applyFont="1" applyFill="1" applyBorder="1" applyAlignment="1" applyProtection="1">
      <alignment horizontal="center" vertical="center"/>
      <protection/>
    </xf>
    <xf numFmtId="164" fontId="7" fillId="0" borderId="2" xfId="72" applyFont="1" applyFill="1" applyBorder="1" applyAlignment="1" applyProtection="1">
      <alignment vertical="center"/>
      <protection/>
    </xf>
    <xf numFmtId="170" fontId="7" fillId="0" borderId="2" xfId="59" applyNumberFormat="1" applyFont="1" applyFill="1" applyBorder="1" applyAlignment="1" applyProtection="1">
      <alignment horizontal="right" vertical="center"/>
      <protection/>
    </xf>
    <xf numFmtId="170" fontId="7" fillId="0" borderId="2" xfId="59" applyNumberFormat="1" applyFont="1" applyFill="1" applyBorder="1" applyAlignment="1" applyProtection="1">
      <alignment horizontal="right" vertical="center" wrapText="1"/>
      <protection/>
    </xf>
    <xf numFmtId="164" fontId="4" fillId="0" borderId="0" xfId="72" applyFont="1" applyFill="1" applyBorder="1" applyAlignment="1" applyProtection="1">
      <alignment vertical="center"/>
      <protection/>
    </xf>
    <xf numFmtId="170" fontId="9" fillId="0" borderId="2" xfId="59" applyNumberFormat="1" applyFont="1" applyFill="1" applyBorder="1" applyAlignment="1" applyProtection="1">
      <alignment horizontal="right" vertical="center"/>
      <protection/>
    </xf>
    <xf numFmtId="170" fontId="9" fillId="0" borderId="2" xfId="59" applyNumberFormat="1" applyFont="1" applyFill="1" applyBorder="1" applyAlignment="1" applyProtection="1">
      <alignment horizontal="right" vertical="center" wrapText="1"/>
      <protection/>
    </xf>
    <xf numFmtId="164" fontId="7" fillId="0" borderId="0" xfId="72" applyFont="1" applyFill="1" applyBorder="1" applyAlignment="1" applyProtection="1">
      <alignment horizontal="center" vertical="center"/>
      <protection/>
    </xf>
    <xf numFmtId="164" fontId="7" fillId="0" borderId="0" xfId="72" applyFont="1" applyFill="1" applyBorder="1" applyAlignment="1" applyProtection="1">
      <alignment vertical="center"/>
      <protection/>
    </xf>
    <xf numFmtId="170" fontId="4" fillId="0" borderId="0" xfId="72" applyNumberFormat="1" applyFont="1" applyFill="1" applyBorder="1" applyAlignment="1" applyProtection="1">
      <alignment vertical="center"/>
      <protection/>
    </xf>
    <xf numFmtId="170" fontId="8" fillId="0" borderId="0" xfId="72" applyNumberFormat="1" applyFont="1" applyFill="1" applyBorder="1" applyAlignment="1" applyProtection="1">
      <alignment vertical="center"/>
      <protection/>
    </xf>
    <xf numFmtId="164" fontId="4" fillId="0" borderId="0" xfId="72" applyFont="1" applyFill="1" applyBorder="1" applyAlignment="1" applyProtection="1">
      <alignment horizontal="center" vertical="center"/>
      <protection/>
    </xf>
    <xf numFmtId="164" fontId="4" fillId="0" borderId="0" xfId="72" applyFont="1" applyFill="1" applyBorder="1" applyAlignment="1" applyProtection="1">
      <alignment horizontal="left" vertical="center"/>
      <protection/>
    </xf>
    <xf numFmtId="164" fontId="8" fillId="0" borderId="0" xfId="72" applyFont="1" applyFill="1" applyBorder="1" applyAlignment="1" applyProtection="1">
      <alignment vertical="center"/>
      <protection/>
    </xf>
    <xf numFmtId="171" fontId="7" fillId="0" borderId="0" xfId="72" applyNumberFormat="1" applyFont="1" applyFill="1" applyBorder="1" applyAlignment="1" applyProtection="1">
      <alignment vertical="center"/>
      <protection/>
    </xf>
    <xf numFmtId="164" fontId="9" fillId="0" borderId="0" xfId="72" applyFont="1" applyFill="1" applyBorder="1" applyAlignment="1" applyProtection="1">
      <alignment horizontal="center" vertical="center"/>
      <protection/>
    </xf>
    <xf numFmtId="164" fontId="0" fillId="0" borderId="0" xfId="0" applyAlignment="1">
      <alignment horizontal="left" vertical="center"/>
    </xf>
    <xf numFmtId="164" fontId="0" fillId="0" borderId="0" xfId="0" applyAlignment="1">
      <alignment horizontal="center" vertical="center"/>
    </xf>
    <xf numFmtId="168" fontId="0" fillId="0" borderId="0" xfId="0" applyNumberFormat="1" applyAlignment="1">
      <alignment horizontal="right" vertical="center" indent="1"/>
    </xf>
    <xf numFmtId="172" fontId="10" fillId="0" borderId="1" xfId="0" applyNumberFormat="1" applyFont="1" applyBorder="1" applyAlignment="1">
      <alignment horizontal="left" vertical="center"/>
    </xf>
    <xf numFmtId="165" fontId="10" fillId="0" borderId="1" xfId="20" applyFont="1" applyFill="1" applyBorder="1" applyAlignment="1" applyProtection="1">
      <alignment horizontal="center" vertical="center"/>
      <protection/>
    </xf>
    <xf numFmtId="172" fontId="10" fillId="0" borderId="1" xfId="0" applyNumberFormat="1" applyFont="1" applyBorder="1" applyAlignment="1">
      <alignment horizontal="center" vertical="center"/>
    </xf>
    <xf numFmtId="164" fontId="10" fillId="0" borderId="1" xfId="0" applyFont="1" applyFill="1" applyBorder="1" applyAlignment="1" applyProtection="1">
      <alignment horizontal="left" vertical="center"/>
      <protection/>
    </xf>
    <xf numFmtId="164" fontId="10" fillId="0" borderId="1" xfId="0" applyFont="1" applyBorder="1" applyAlignment="1">
      <alignment horizontal="center" vertical="center"/>
    </xf>
    <xf numFmtId="168" fontId="10" fillId="0" borderId="1" xfId="0" applyNumberFormat="1" applyFont="1" applyBorder="1" applyAlignment="1">
      <alignment horizontal="right" vertical="center" indent="1"/>
    </xf>
    <xf numFmtId="164" fontId="10" fillId="0" borderId="1" xfId="0" applyFont="1" applyBorder="1" applyAlignment="1">
      <alignment horizontal="left" vertical="center"/>
    </xf>
    <xf numFmtId="164" fontId="10" fillId="0" borderId="1" xfId="0" applyFont="1" applyBorder="1" applyAlignment="1">
      <alignment horizontal="right" vertical="center"/>
    </xf>
    <xf numFmtId="164" fontId="10" fillId="0" borderId="1" xfId="0" applyFont="1" applyBorder="1" applyAlignment="1">
      <alignment vertical="center"/>
    </xf>
    <xf numFmtId="172" fontId="11" fillId="0" borderId="0" xfId="0" applyNumberFormat="1" applyFont="1" applyBorder="1" applyAlignment="1">
      <alignment horizontal="left" vertical="center"/>
    </xf>
    <xf numFmtId="165" fontId="11" fillId="0" borderId="0" xfId="20" applyFont="1" applyFill="1" applyBorder="1" applyAlignment="1" applyProtection="1">
      <alignment horizontal="center" vertical="center"/>
      <protection/>
    </xf>
    <xf numFmtId="164" fontId="11" fillId="0" borderId="0" xfId="0" applyFont="1" applyAlignment="1">
      <alignment horizontal="center" vertical="center"/>
    </xf>
    <xf numFmtId="164" fontId="11" fillId="0" borderId="0" xfId="0" applyFont="1" applyFill="1" applyBorder="1" applyAlignment="1" applyProtection="1">
      <alignment horizontal="left" vertical="center"/>
      <protection/>
    </xf>
    <xf numFmtId="172" fontId="11" fillId="0" borderId="0" xfId="0" applyNumberFormat="1" applyFont="1" applyAlignment="1">
      <alignment horizontal="center" vertical="center"/>
    </xf>
    <xf numFmtId="168" fontId="11" fillId="0" borderId="0" xfId="0" applyNumberFormat="1" applyFont="1" applyAlignment="1">
      <alignment horizontal="right" vertical="center" indent="1"/>
    </xf>
    <xf numFmtId="164" fontId="11" fillId="0" borderId="0" xfId="0" applyFont="1" applyAlignment="1">
      <alignment horizontal="left" vertical="center"/>
    </xf>
    <xf numFmtId="164" fontId="0" fillId="0" borderId="0" xfId="0" applyFont="1" applyAlignment="1">
      <alignment vertical="center"/>
    </xf>
    <xf numFmtId="164" fontId="12" fillId="0" borderId="0" xfId="0" applyFont="1" applyAlignment="1">
      <alignment horizontal="left" vertical="center"/>
    </xf>
    <xf numFmtId="168" fontId="11" fillId="0" borderId="0" xfId="0" applyNumberFormat="1" applyFont="1" applyAlignment="1">
      <alignment vertical="center"/>
    </xf>
    <xf numFmtId="165" fontId="0" fillId="0" borderId="0" xfId="20" applyFont="1" applyFill="1" applyBorder="1" applyAlignment="1" applyProtection="1">
      <alignment horizontal="center" vertical="center"/>
      <protection/>
    </xf>
    <xf numFmtId="164" fontId="0" fillId="0" borderId="0" xfId="0" applyFont="1" applyFill="1" applyBorder="1" applyAlignment="1" applyProtection="1">
      <alignment horizontal="left" vertical="center"/>
      <protection/>
    </xf>
    <xf numFmtId="164" fontId="0" fillId="0" borderId="0" xfId="0" applyFont="1" applyAlignment="1">
      <alignment horizontal="center" vertical="center"/>
    </xf>
    <xf numFmtId="172" fontId="0" fillId="0" borderId="0" xfId="0" applyNumberFormat="1" applyFont="1" applyAlignment="1">
      <alignment horizontal="center" vertical="center"/>
    </xf>
    <xf numFmtId="173" fontId="0" fillId="0" borderId="0" xfId="59" applyNumberFormat="1" applyFont="1" applyFill="1" applyBorder="1" applyAlignment="1" applyProtection="1">
      <alignment horizontal="right" vertical="center" indent="1"/>
      <protection/>
    </xf>
    <xf numFmtId="164" fontId="0" fillId="0" borderId="0" xfId="0" applyFont="1" applyFill="1" applyBorder="1" applyAlignment="1" applyProtection="1">
      <alignment horizontal="center" vertical="center"/>
      <protection/>
    </xf>
    <xf numFmtId="164" fontId="12" fillId="0" borderId="0" xfId="0" applyFont="1" applyAlignment="1">
      <alignment horizontal="center" vertical="center"/>
    </xf>
    <xf numFmtId="164" fontId="0" fillId="0" borderId="0" xfId="0" applyFont="1" applyAlignment="1">
      <alignment horizontal="left" vertical="center"/>
    </xf>
    <xf numFmtId="172" fontId="0" fillId="0" borderId="0" xfId="0" applyNumberFormat="1" applyFont="1" applyBorder="1" applyAlignment="1">
      <alignment horizontal="left" vertical="center"/>
    </xf>
    <xf numFmtId="164" fontId="0" fillId="0" borderId="0" xfId="0" applyFont="1" applyAlignment="1">
      <alignment vertical="center"/>
    </xf>
    <xf numFmtId="164" fontId="11" fillId="0" borderId="0" xfId="0" applyFont="1" applyAlignment="1">
      <alignment vertical="center"/>
    </xf>
    <xf numFmtId="168" fontId="0" fillId="0" borderId="0" xfId="0" applyNumberFormat="1" applyFont="1" applyAlignment="1">
      <alignment horizontal="right" vertical="center" indent="1"/>
    </xf>
    <xf numFmtId="164" fontId="13" fillId="0" borderId="0" xfId="0" applyFont="1" applyBorder="1" applyAlignment="1">
      <alignment horizontal="left" vertical="center"/>
    </xf>
    <xf numFmtId="165" fontId="12" fillId="0" borderId="0" xfId="20" applyFont="1" applyFill="1" applyBorder="1" applyAlignment="1" applyProtection="1">
      <alignment horizontal="center" vertical="center"/>
      <protection/>
    </xf>
    <xf numFmtId="172" fontId="12" fillId="0" borderId="0" xfId="0" applyNumberFormat="1" applyFont="1" applyAlignment="1">
      <alignment horizontal="center" vertical="center"/>
    </xf>
    <xf numFmtId="164" fontId="12" fillId="0" borderId="0" xfId="0" applyFont="1" applyFill="1" applyBorder="1" applyAlignment="1" applyProtection="1">
      <alignment horizontal="left" vertical="center"/>
      <protection/>
    </xf>
    <xf numFmtId="164" fontId="12" fillId="0" borderId="0" xfId="0" applyFont="1" applyFill="1" applyBorder="1" applyAlignment="1" applyProtection="1">
      <alignment horizontal="center" vertical="center"/>
      <protection/>
    </xf>
    <xf numFmtId="168" fontId="12" fillId="0" borderId="0" xfId="59" applyNumberFormat="1" applyFont="1" applyFill="1" applyBorder="1" applyAlignment="1" applyProtection="1">
      <alignment horizontal="right" vertical="center" indent="1"/>
      <protection/>
    </xf>
    <xf numFmtId="173" fontId="0" fillId="0" borderId="0" xfId="59" applyNumberFormat="1" applyFont="1" applyFill="1" applyBorder="1" applyAlignment="1" applyProtection="1">
      <alignment horizontal="right" vertical="center"/>
      <protection/>
    </xf>
    <xf numFmtId="172" fontId="12" fillId="0" borderId="0" xfId="0" applyNumberFormat="1" applyFont="1" applyBorder="1" applyAlignment="1">
      <alignment horizontal="left" vertical="center"/>
    </xf>
    <xf numFmtId="164" fontId="13" fillId="0" borderId="0" xfId="0" applyFont="1" applyAlignment="1">
      <alignment horizontal="left" vertical="center"/>
    </xf>
    <xf numFmtId="168" fontId="13" fillId="0" borderId="0" xfId="59" applyNumberFormat="1" applyFont="1" applyFill="1" applyBorder="1" applyAlignment="1" applyProtection="1">
      <alignment horizontal="center" vertical="center"/>
      <protection/>
    </xf>
    <xf numFmtId="173" fontId="13" fillId="0" borderId="0" xfId="59" applyNumberFormat="1" applyFont="1" applyFill="1" applyBorder="1" applyAlignment="1" applyProtection="1">
      <alignment horizontal="center" vertical="center"/>
      <protection/>
    </xf>
    <xf numFmtId="164" fontId="0" fillId="0" borderId="0" xfId="0" applyAlignment="1">
      <alignment horizontal="right" vertical="center" indent="1"/>
    </xf>
    <xf numFmtId="164" fontId="10" fillId="0" borderId="3" xfId="0" applyFont="1" applyBorder="1" applyAlignment="1">
      <alignment horizontal="center" vertical="center"/>
    </xf>
    <xf numFmtId="168" fontId="10" fillId="0" borderId="2" xfId="59" applyFont="1" applyFill="1" applyBorder="1" applyAlignment="1" applyProtection="1">
      <alignment horizontal="right" vertical="center" wrapText="1"/>
      <protection/>
    </xf>
    <xf numFmtId="168" fontId="14" fillId="0" borderId="2" xfId="59" applyFont="1" applyFill="1" applyBorder="1" applyAlignment="1" applyProtection="1">
      <alignment horizontal="right" vertical="center" wrapText="1"/>
      <protection/>
    </xf>
    <xf numFmtId="164" fontId="10" fillId="0" borderId="0" xfId="0" applyFont="1" applyAlignment="1">
      <alignment vertical="center"/>
    </xf>
    <xf numFmtId="174" fontId="0" fillId="0" borderId="4" xfId="0" applyNumberFormat="1" applyFont="1" applyBorder="1" applyAlignment="1">
      <alignment horizontal="center" vertical="center"/>
    </xf>
    <xf numFmtId="168" fontId="0" fillId="0" borderId="0" xfId="59" applyFont="1" applyFill="1" applyBorder="1" applyAlignment="1" applyProtection="1">
      <alignment vertical="center"/>
      <protection/>
    </xf>
    <xf numFmtId="168" fontId="11" fillId="0" borderId="0" xfId="59" applyFont="1" applyFill="1" applyBorder="1" applyAlignment="1" applyProtection="1">
      <alignment vertical="center"/>
      <protection/>
    </xf>
    <xf numFmtId="164" fontId="0" fillId="0" borderId="0" xfId="0" applyFont="1" applyBorder="1" applyAlignment="1">
      <alignment vertical="center"/>
    </xf>
    <xf numFmtId="164" fontId="10" fillId="0" borderId="5" xfId="0" applyFont="1" applyBorder="1" applyAlignment="1">
      <alignment horizontal="center" vertical="center"/>
    </xf>
    <xf numFmtId="168" fontId="10" fillId="0" borderId="6" xfId="59" applyFont="1" applyFill="1" applyBorder="1" applyAlignment="1" applyProtection="1">
      <alignment vertical="center"/>
      <protection/>
    </xf>
    <xf numFmtId="168" fontId="10" fillId="0" borderId="6" xfId="59" applyFont="1" applyFill="1" applyBorder="1" applyAlignment="1" applyProtection="1">
      <alignment horizontal="left" vertical="center"/>
      <protection/>
    </xf>
    <xf numFmtId="168" fontId="14" fillId="0" borderId="6" xfId="59" applyFont="1" applyFill="1" applyBorder="1" applyAlignment="1" applyProtection="1">
      <alignment vertical="center"/>
      <protection/>
    </xf>
    <xf numFmtId="164" fontId="10" fillId="0" borderId="0" xfId="0" applyFont="1" applyBorder="1" applyAlignment="1">
      <alignment vertical="center"/>
    </xf>
    <xf numFmtId="164" fontId="15" fillId="0" borderId="4" xfId="0" applyFont="1" applyBorder="1" applyAlignment="1">
      <alignment horizontal="center" vertical="center"/>
    </xf>
    <xf numFmtId="168" fontId="15" fillId="0" borderId="0" xfId="59" applyFont="1" applyFill="1" applyBorder="1" applyAlignment="1" applyProtection="1">
      <alignment vertical="center"/>
      <protection/>
    </xf>
    <xf numFmtId="164" fontId="15" fillId="0" borderId="0" xfId="0" applyFont="1" applyBorder="1" applyAlignment="1">
      <alignment vertical="center"/>
    </xf>
    <xf numFmtId="164" fontId="16" fillId="0" borderId="0" xfId="0" applyFont="1" applyBorder="1" applyAlignment="1">
      <alignment horizontal="left" vertical="center"/>
    </xf>
    <xf numFmtId="168" fontId="11" fillId="0" borderId="0" xfId="0" applyNumberFormat="1" applyFont="1" applyAlignment="1">
      <alignment horizontal="center" vertical="center"/>
    </xf>
    <xf numFmtId="168" fontId="11" fillId="0" borderId="0" xfId="0" applyNumberFormat="1" applyFont="1" applyAlignment="1">
      <alignment vertical="center"/>
    </xf>
    <xf numFmtId="173" fontId="11" fillId="0" borderId="0" xfId="0" applyNumberFormat="1" applyFont="1" applyAlignment="1">
      <alignment vertical="center"/>
    </xf>
    <xf numFmtId="168" fontId="0" fillId="0" borderId="2" xfId="59" applyFont="1" applyFill="1" applyBorder="1" applyAlignment="1" applyProtection="1">
      <alignment horizontal="center" vertical="center"/>
      <protection/>
    </xf>
    <xf numFmtId="168" fontId="0" fillId="0" borderId="3" xfId="59" applyFont="1" applyFill="1" applyBorder="1" applyAlignment="1" applyProtection="1">
      <alignment horizontal="center" vertical="center"/>
      <protection/>
    </xf>
    <xf numFmtId="168" fontId="0" fillId="0" borderId="0" xfId="59" applyFont="1" applyFill="1" applyBorder="1" applyAlignment="1" applyProtection="1">
      <alignment horizontal="left" vertical="center" indent="2"/>
      <protection/>
    </xf>
    <xf numFmtId="168" fontId="14" fillId="0" borderId="2" xfId="0" applyNumberFormat="1" applyFont="1" applyBorder="1" applyAlignment="1">
      <alignment horizontal="right" vertical="center" wrapText="1"/>
    </xf>
    <xf numFmtId="164" fontId="14" fillId="0" borderId="2" xfId="0" applyFont="1" applyBorder="1" applyAlignment="1">
      <alignment horizontal="right" vertical="center" wrapText="1"/>
    </xf>
    <xf numFmtId="173" fontId="11" fillId="0" borderId="0" xfId="0" applyNumberFormat="1" applyFont="1" applyAlignment="1">
      <alignment vertical="center"/>
    </xf>
    <xf numFmtId="165" fontId="0" fillId="0" borderId="0" xfId="20" applyFont="1" applyFill="1" applyBorder="1" applyAlignment="1" applyProtection="1">
      <alignment vertical="center"/>
      <protection/>
    </xf>
    <xf numFmtId="165" fontId="0" fillId="0" borderId="4" xfId="20" applyFont="1" applyFill="1" applyBorder="1" applyAlignment="1" applyProtection="1">
      <alignment vertical="center"/>
      <protection/>
    </xf>
    <xf numFmtId="164" fontId="11" fillId="0" borderId="0" xfId="0" applyFont="1" applyAlignment="1">
      <alignment vertical="center"/>
    </xf>
    <xf numFmtId="164" fontId="0" fillId="0" borderId="0" xfId="0" applyFont="1" applyFill="1" applyBorder="1" applyAlignment="1" applyProtection="1">
      <alignment horizontal="left" vertical="center" indent="2"/>
      <protection/>
    </xf>
    <xf numFmtId="168" fontId="11" fillId="0" borderId="0" xfId="59" applyNumberFormat="1" applyFont="1" applyFill="1" applyBorder="1" applyAlignment="1" applyProtection="1">
      <alignment horizontal="center" vertical="center"/>
      <protection/>
    </xf>
    <xf numFmtId="164" fontId="17" fillId="0" borderId="7" xfId="72" applyFont="1" applyFill="1" applyBorder="1" applyAlignment="1" applyProtection="1">
      <alignment vertical="center"/>
      <protection/>
    </xf>
    <xf numFmtId="164" fontId="17" fillId="0" borderId="7" xfId="72" applyFont="1" applyFill="1" applyBorder="1" applyAlignment="1" applyProtection="1">
      <alignment horizontal="right" vertical="center"/>
      <protection/>
    </xf>
    <xf numFmtId="166" fontId="18" fillId="0" borderId="8" xfId="33" applyFont="1" applyFill="1" applyBorder="1" applyAlignment="1" applyProtection="1">
      <alignment horizontal="right" vertical="center"/>
      <protection/>
    </xf>
    <xf numFmtId="166" fontId="19" fillId="0" borderId="8" xfId="33" applyFont="1" applyFill="1" applyBorder="1" applyAlignment="1" applyProtection="1">
      <alignment horizontal="right" vertical="center"/>
      <protection/>
    </xf>
    <xf numFmtId="164" fontId="0" fillId="0" borderId="7" xfId="0" applyBorder="1" applyAlignment="1">
      <alignment vertical="center"/>
    </xf>
    <xf numFmtId="164" fontId="0" fillId="0" borderId="0" xfId="0" applyFont="1" applyFill="1" applyBorder="1" applyAlignment="1" applyProtection="1">
      <alignment vertical="center"/>
      <protection/>
    </xf>
    <xf numFmtId="166" fontId="0" fillId="0" borderId="9" xfId="33" applyFont="1" applyFill="1" applyBorder="1" applyAlignment="1" applyProtection="1">
      <alignment vertical="center"/>
      <protection/>
    </xf>
    <xf numFmtId="166" fontId="11" fillId="0" borderId="9" xfId="33" applyFont="1" applyFill="1" applyBorder="1" applyAlignment="1" applyProtection="1">
      <alignment vertical="center"/>
      <protection/>
    </xf>
    <xf numFmtId="164" fontId="2" fillId="0" borderId="2" xfId="72" applyFill="1" applyBorder="1" applyProtection="1">
      <alignment vertical="center"/>
      <protection/>
    </xf>
    <xf numFmtId="166" fontId="2" fillId="0" borderId="10" xfId="33" applyFont="1" applyFill="1" applyBorder="1" applyAlignment="1" applyProtection="1">
      <alignment vertical="center"/>
      <protection/>
    </xf>
    <xf numFmtId="166" fontId="20" fillId="0" borderId="10" xfId="33" applyFont="1" applyFill="1" applyBorder="1" applyAlignment="1" applyProtection="1">
      <alignment vertical="center"/>
      <protection/>
    </xf>
    <xf numFmtId="164" fontId="2" fillId="0" borderId="2" xfId="72" applyFont="1" applyFill="1" applyBorder="1" applyAlignment="1" applyProtection="1">
      <alignment vertical="center"/>
      <protection/>
    </xf>
    <xf numFmtId="164" fontId="17" fillId="0" borderId="11" xfId="72" applyFont="1" applyFill="1" applyBorder="1" applyAlignment="1" applyProtection="1">
      <alignment vertical="center"/>
      <protection/>
    </xf>
    <xf numFmtId="166" fontId="17" fillId="0" borderId="12" xfId="33" applyFont="1" applyFill="1" applyBorder="1" applyAlignment="1" applyProtection="1">
      <alignment vertical="center"/>
      <protection/>
    </xf>
    <xf numFmtId="166" fontId="21" fillId="0" borderId="12" xfId="33" applyFont="1" applyFill="1" applyBorder="1" applyAlignment="1" applyProtection="1">
      <alignment vertical="center"/>
      <protection/>
    </xf>
    <xf numFmtId="164" fontId="0" fillId="0" borderId="13" xfId="0" applyBorder="1" applyAlignment="1">
      <alignment vertical="center"/>
    </xf>
    <xf numFmtId="164" fontId="22" fillId="0" borderId="0" xfId="72" applyFont="1" applyFill="1" applyBorder="1" applyAlignment="1" applyProtection="1">
      <alignment horizontal="right" vertical="center"/>
      <protection/>
    </xf>
    <xf numFmtId="166" fontId="22" fillId="0" borderId="0" xfId="33" applyFont="1" applyFill="1" applyBorder="1" applyAlignment="1" applyProtection="1">
      <alignment vertical="center"/>
      <protection/>
    </xf>
    <xf numFmtId="166" fontId="19" fillId="0" borderId="0" xfId="33" applyFont="1" applyFill="1" applyBorder="1" applyAlignment="1" applyProtection="1">
      <alignment vertical="center"/>
      <protection/>
    </xf>
    <xf numFmtId="164" fontId="22" fillId="0" borderId="0" xfId="72" applyFont="1" applyFill="1" applyBorder="1" applyAlignment="1" applyProtection="1">
      <alignment vertical="center"/>
      <protection/>
    </xf>
    <xf numFmtId="175" fontId="22" fillId="0" borderId="0" xfId="59" applyNumberFormat="1" applyFont="1" applyFill="1" applyBorder="1" applyAlignment="1" applyProtection="1">
      <alignment vertical="center"/>
      <protection/>
    </xf>
    <xf numFmtId="175" fontId="19" fillId="0" borderId="0" xfId="59" applyNumberFormat="1" applyFont="1" applyFill="1" applyBorder="1" applyAlignment="1" applyProtection="1">
      <alignment vertical="center"/>
      <protection/>
    </xf>
    <xf numFmtId="164" fontId="17" fillId="0" borderId="0" xfId="72" applyFont="1" applyFill="1" applyBorder="1" applyAlignment="1" applyProtection="1">
      <alignment vertical="center"/>
      <protection/>
    </xf>
    <xf numFmtId="166" fontId="17" fillId="0" borderId="0" xfId="33" applyFont="1" applyFill="1" applyBorder="1" applyAlignment="1" applyProtection="1">
      <alignment vertical="center"/>
      <protection/>
    </xf>
    <xf numFmtId="166" fontId="21" fillId="0" borderId="0" xfId="33" applyFont="1" applyFill="1" applyBorder="1" applyAlignment="1" applyProtection="1">
      <alignment vertical="center"/>
      <protection/>
    </xf>
    <xf numFmtId="166" fontId="0" fillId="0" borderId="0" xfId="33" applyFont="1" applyFill="1" applyBorder="1" applyAlignment="1" applyProtection="1">
      <alignment vertical="center"/>
      <protection/>
    </xf>
    <xf numFmtId="166" fontId="11" fillId="0" borderId="0" xfId="33" applyFont="1" applyFill="1" applyBorder="1" applyAlignment="1" applyProtection="1">
      <alignment vertical="center"/>
      <protection/>
    </xf>
    <xf numFmtId="164" fontId="18" fillId="0" borderId="7" xfId="72" applyFont="1" applyFill="1" applyBorder="1" applyAlignment="1" applyProtection="1">
      <alignment vertical="center"/>
      <protection/>
    </xf>
    <xf numFmtId="176" fontId="0" fillId="0" borderId="0" xfId="112" applyNumberFormat="1" applyFont="1" applyFill="1" applyBorder="1" applyAlignment="1" applyProtection="1">
      <alignment vertical="center"/>
      <protection/>
    </xf>
    <xf numFmtId="176" fontId="10" fillId="0" borderId="11" xfId="72" applyNumberFormat="1" applyFont="1" applyFill="1" applyBorder="1" applyAlignment="1" applyProtection="1">
      <alignment vertical="center"/>
      <protection/>
    </xf>
    <xf numFmtId="166" fontId="17" fillId="0" borderId="8" xfId="33" applyFont="1" applyFill="1" applyBorder="1" applyAlignment="1" applyProtection="1">
      <alignment vertical="center"/>
      <protection/>
    </xf>
    <xf numFmtId="166" fontId="21" fillId="0" borderId="8" xfId="33" applyFont="1" applyFill="1" applyBorder="1" applyAlignment="1" applyProtection="1">
      <alignment vertical="center"/>
      <protection/>
    </xf>
    <xf numFmtId="164" fontId="2" fillId="0" borderId="0" xfId="72" applyFont="1" applyFill="1" applyBorder="1" applyAlignment="1" applyProtection="1">
      <alignment vertical="center"/>
      <protection/>
    </xf>
    <xf numFmtId="166" fontId="2" fillId="0" borderId="0" xfId="33" applyFont="1" applyFill="1" applyBorder="1" applyAlignment="1" applyProtection="1">
      <alignment vertical="center"/>
      <protection/>
    </xf>
    <xf numFmtId="166" fontId="20" fillId="0" borderId="0" xfId="33" applyFont="1" applyFill="1" applyBorder="1" applyAlignment="1" applyProtection="1">
      <alignment vertical="center"/>
      <protection/>
    </xf>
    <xf numFmtId="177" fontId="7" fillId="0" borderId="14" xfId="72" applyNumberFormat="1" applyFont="1" applyFill="1" applyBorder="1" applyAlignment="1" applyProtection="1">
      <alignment vertical="center"/>
      <protection/>
    </xf>
    <xf numFmtId="171" fontId="7" fillId="0" borderId="1" xfId="72" applyNumberFormat="1" applyFont="1" applyFill="1" applyBorder="1" applyAlignment="1" applyProtection="1">
      <alignment vertical="center"/>
      <protection/>
    </xf>
    <xf numFmtId="166" fontId="7" fillId="0" borderId="15" xfId="33" applyFont="1" applyFill="1" applyBorder="1" applyAlignment="1" applyProtection="1">
      <alignment horizontal="right" vertical="center"/>
      <protection/>
    </xf>
    <xf numFmtId="166" fontId="7" fillId="0" borderId="16" xfId="33" applyFont="1" applyFill="1" applyBorder="1" applyAlignment="1" applyProtection="1">
      <alignment vertical="center"/>
      <protection/>
    </xf>
    <xf numFmtId="166" fontId="7" fillId="0" borderId="0" xfId="33" applyFont="1" applyFill="1" applyBorder="1" applyAlignment="1" applyProtection="1">
      <alignment vertical="center"/>
      <protection/>
    </xf>
    <xf numFmtId="164" fontId="7" fillId="0" borderId="0" xfId="0" applyFont="1" applyAlignment="1">
      <alignment vertical="center"/>
    </xf>
    <xf numFmtId="164" fontId="4" fillId="0" borderId="16" xfId="72" applyFont="1" applyFill="1" applyBorder="1" applyAlignment="1" applyProtection="1">
      <alignment vertical="center"/>
      <protection/>
    </xf>
    <xf numFmtId="166" fontId="4" fillId="0" borderId="9" xfId="33" applyFont="1" applyFill="1" applyBorder="1" applyAlignment="1" applyProtection="1">
      <alignment vertical="center"/>
      <protection/>
    </xf>
    <xf numFmtId="166" fontId="4" fillId="0" borderId="16" xfId="33" applyFont="1" applyFill="1" applyBorder="1" applyAlignment="1" applyProtection="1">
      <alignment vertical="center"/>
      <protection/>
    </xf>
    <xf numFmtId="166" fontId="4" fillId="0" borderId="0" xfId="33" applyFont="1" applyFill="1" applyBorder="1" applyAlignment="1" applyProtection="1">
      <alignment vertical="center"/>
      <protection/>
    </xf>
    <xf numFmtId="164" fontId="7" fillId="0" borderId="17" xfId="72" applyFont="1" applyFill="1" applyBorder="1" applyAlignment="1" applyProtection="1">
      <alignment vertical="center"/>
      <protection/>
    </xf>
    <xf numFmtId="166" fontId="7" fillId="0" borderId="10" xfId="33" applyFont="1" applyFill="1" applyBorder="1" applyAlignment="1" applyProtection="1">
      <alignment vertical="center"/>
      <protection/>
    </xf>
    <xf numFmtId="164" fontId="7" fillId="0" borderId="16" xfId="72" applyFont="1" applyFill="1" applyBorder="1" applyAlignment="1" applyProtection="1">
      <alignment vertical="center"/>
      <protection/>
    </xf>
    <xf numFmtId="166" fontId="7" fillId="0" borderId="9" xfId="33" applyFont="1" applyFill="1" applyBorder="1" applyAlignment="1" applyProtection="1">
      <alignment vertical="center"/>
      <protection/>
    </xf>
    <xf numFmtId="164" fontId="7" fillId="0" borderId="14" xfId="72" applyFont="1" applyFill="1" applyBorder="1" applyAlignment="1" applyProtection="1">
      <alignment vertical="center"/>
      <protection/>
    </xf>
    <xf numFmtId="164" fontId="7" fillId="0" borderId="1" xfId="72" applyFont="1" applyFill="1" applyBorder="1" applyAlignment="1" applyProtection="1">
      <alignment vertical="center"/>
      <protection/>
    </xf>
    <xf numFmtId="166" fontId="7" fillId="0" borderId="15" xfId="33" applyFont="1" applyFill="1" applyBorder="1" applyAlignment="1" applyProtection="1">
      <alignment vertical="center"/>
      <protection/>
    </xf>
    <xf numFmtId="164" fontId="0" fillId="0" borderId="0" xfId="0" applyAlignment="1">
      <alignment vertical="center"/>
    </xf>
    <xf numFmtId="164" fontId="4" fillId="0" borderId="15" xfId="0" applyFont="1" applyBorder="1" applyAlignment="1">
      <alignment horizontal="right" vertical="top"/>
    </xf>
    <xf numFmtId="164" fontId="0" fillId="0" borderId="0" xfId="0" applyAlignment="1">
      <alignment horizontal="right" vertical="center"/>
    </xf>
    <xf numFmtId="164" fontId="4" fillId="0" borderId="15" xfId="0" applyFont="1" applyBorder="1" applyAlignment="1">
      <alignment vertical="top"/>
    </xf>
    <xf numFmtId="173" fontId="0" fillId="0" borderId="15" xfId="0" applyNumberFormat="1" applyBorder="1" applyAlignment="1">
      <alignment vertical="top"/>
    </xf>
    <xf numFmtId="164" fontId="7" fillId="0" borderId="15" xfId="0" applyFont="1" applyFill="1" applyBorder="1" applyAlignment="1">
      <alignment vertical="top"/>
    </xf>
    <xf numFmtId="173" fontId="10" fillId="0" borderId="15" xfId="0" applyNumberFormat="1" applyFont="1" applyBorder="1" applyAlignment="1">
      <alignment vertical="center"/>
    </xf>
    <xf numFmtId="173" fontId="0" fillId="0" borderId="0" xfId="0" applyNumberFormat="1" applyFont="1" applyAlignment="1">
      <alignment horizontal="center" vertical="center"/>
    </xf>
    <xf numFmtId="173" fontId="0" fillId="0" borderId="0" xfId="0" applyNumberFormat="1" applyFont="1" applyAlignment="1">
      <alignment horizontal="left" vertical="center"/>
    </xf>
    <xf numFmtId="164" fontId="0" fillId="0" borderId="0" xfId="0" applyFont="1" applyBorder="1" applyAlignment="1">
      <alignment horizontal="left" vertical="center"/>
    </xf>
    <xf numFmtId="168" fontId="0" fillId="0" borderId="0" xfId="0" applyNumberFormat="1" applyFont="1" applyAlignment="1">
      <alignment horizontal="left" vertical="center"/>
    </xf>
    <xf numFmtId="168" fontId="0" fillId="0" borderId="0" xfId="0" applyNumberFormat="1" applyFont="1" applyAlignment="1">
      <alignment vertical="center"/>
    </xf>
    <xf numFmtId="173" fontId="0" fillId="0" borderId="0" xfId="0" applyNumberFormat="1" applyAlignment="1">
      <alignment horizontal="left" vertical="center"/>
    </xf>
    <xf numFmtId="173" fontId="0" fillId="0" borderId="0" xfId="0" applyNumberFormat="1" applyFont="1" applyAlignment="1">
      <alignment vertical="center"/>
    </xf>
    <xf numFmtId="173" fontId="12" fillId="0" borderId="0" xfId="59" applyNumberFormat="1" applyFont="1" applyFill="1" applyBorder="1" applyAlignment="1" applyProtection="1">
      <alignment horizontal="right" vertical="center" indent="1"/>
      <protection/>
    </xf>
    <xf numFmtId="168" fontId="0" fillId="0" borderId="0" xfId="0" applyNumberFormat="1" applyAlignment="1">
      <alignment horizontal="left" vertical="center"/>
    </xf>
    <xf numFmtId="164" fontId="12" fillId="0" borderId="0" xfId="0" applyFont="1" applyBorder="1" applyAlignment="1">
      <alignment horizontal="left" vertical="center"/>
    </xf>
    <xf numFmtId="164" fontId="11" fillId="0" borderId="0" xfId="0" applyFont="1" applyBorder="1" applyAlignment="1">
      <alignment horizontal="left" vertical="center"/>
    </xf>
    <xf numFmtId="168" fontId="12" fillId="0" borderId="0" xfId="0" applyNumberFormat="1" applyFont="1" applyAlignment="1">
      <alignment horizontal="right" vertical="center" indent="1"/>
    </xf>
  </cellXfs>
  <cellStyles count="99">
    <cellStyle name="Normal" xfId="0"/>
    <cellStyle name="Comma" xfId="15"/>
    <cellStyle name="Comma [0]" xfId="16"/>
    <cellStyle name="Currency" xfId="17"/>
    <cellStyle name="Currency [0]" xfId="18"/>
    <cellStyle name="Percent" xfId="19"/>
    <cellStyle name="Date" xfId="20"/>
    <cellStyle name="Date 1" xfId="21"/>
    <cellStyle name="Date 10" xfId="22"/>
    <cellStyle name="Date 11" xfId="23"/>
    <cellStyle name="Date 12" xfId="24"/>
    <cellStyle name="Date 2" xfId="25"/>
    <cellStyle name="Date 3" xfId="26"/>
    <cellStyle name="Date 4" xfId="27"/>
    <cellStyle name="Date 5" xfId="28"/>
    <cellStyle name="Date 6" xfId="29"/>
    <cellStyle name="Date 7" xfId="30"/>
    <cellStyle name="Date 8" xfId="31"/>
    <cellStyle name="Date 9" xfId="32"/>
    <cellStyle name="Décimal0" xfId="33"/>
    <cellStyle name="Décimal0 1" xfId="34"/>
    <cellStyle name="Décimal0 10" xfId="35"/>
    <cellStyle name="Décimal0 11" xfId="36"/>
    <cellStyle name="Décimal0 12" xfId="37"/>
    <cellStyle name="Décimal0 2" xfId="38"/>
    <cellStyle name="Décimal0 3" xfId="39"/>
    <cellStyle name="Décimal0 4" xfId="40"/>
    <cellStyle name="Décimal0 5" xfId="41"/>
    <cellStyle name="Décimal0 6" xfId="42"/>
    <cellStyle name="Décimal0 7" xfId="43"/>
    <cellStyle name="Décimal0 8" xfId="44"/>
    <cellStyle name="Décimal0 9" xfId="45"/>
    <cellStyle name="Décimal1" xfId="46"/>
    <cellStyle name="Décimal1 1" xfId="47"/>
    <cellStyle name="Décimal1 10" xfId="48"/>
    <cellStyle name="Décimal1 11" xfId="49"/>
    <cellStyle name="Décimal1 12" xfId="50"/>
    <cellStyle name="Décimal1 2" xfId="51"/>
    <cellStyle name="Décimal1 3" xfId="52"/>
    <cellStyle name="Décimal1 4" xfId="53"/>
    <cellStyle name="Décimal1 5" xfId="54"/>
    <cellStyle name="Décimal1 6" xfId="55"/>
    <cellStyle name="Décimal1 7" xfId="56"/>
    <cellStyle name="Décimal1 8" xfId="57"/>
    <cellStyle name="Décimal1 9" xfId="58"/>
    <cellStyle name="Décimal2" xfId="59"/>
    <cellStyle name="Décimal2 1" xfId="60"/>
    <cellStyle name="Décimal2 10" xfId="61"/>
    <cellStyle name="Décimal2 11" xfId="62"/>
    <cellStyle name="Décimal2 12" xfId="63"/>
    <cellStyle name="Décimal2 2" xfId="64"/>
    <cellStyle name="Décimal2 3" xfId="65"/>
    <cellStyle name="Décimal2 4" xfId="66"/>
    <cellStyle name="Décimal2 5" xfId="67"/>
    <cellStyle name="Décimal2 6" xfId="68"/>
    <cellStyle name="Décimal2 7" xfId="69"/>
    <cellStyle name="Décimal2 8" xfId="70"/>
    <cellStyle name="Décimal2 9" xfId="71"/>
    <cellStyle name="Normal_Liste des comptes" xfId="72"/>
    <cellStyle name="Périmé" xfId="73"/>
    <cellStyle name="Périmé 1" xfId="74"/>
    <cellStyle name="Périmé 10" xfId="75"/>
    <cellStyle name="Périmé 11" xfId="76"/>
    <cellStyle name="Périmé 12" xfId="77"/>
    <cellStyle name="Périmé 2" xfId="78"/>
    <cellStyle name="Périmé 3" xfId="79"/>
    <cellStyle name="Périmé 4" xfId="80"/>
    <cellStyle name="Périmé 5" xfId="81"/>
    <cellStyle name="Périmé 6" xfId="82"/>
    <cellStyle name="Périmé 7" xfId="83"/>
    <cellStyle name="Périmé 8" xfId="84"/>
    <cellStyle name="Périmé 9" xfId="85"/>
    <cellStyle name="Pourcentage 1" xfId="86"/>
    <cellStyle name="Pourcentage 1 1" xfId="87"/>
    <cellStyle name="Pourcentage 1 10" xfId="88"/>
    <cellStyle name="Pourcentage 1 11" xfId="89"/>
    <cellStyle name="Pourcentage 1 12" xfId="90"/>
    <cellStyle name="Pourcentage 1 2" xfId="91"/>
    <cellStyle name="Pourcentage 1 3" xfId="92"/>
    <cellStyle name="Pourcentage 1 4" xfId="93"/>
    <cellStyle name="Pourcentage 1 5" xfId="94"/>
    <cellStyle name="Pourcentage 1 6" xfId="95"/>
    <cellStyle name="Pourcentage 1 7" xfId="96"/>
    <cellStyle name="Pourcentage 1 8" xfId="97"/>
    <cellStyle name="Pourcentage 1 9" xfId="98"/>
    <cellStyle name="RenvLigneSt" xfId="99"/>
    <cellStyle name="RenvLigneSt 1" xfId="100"/>
    <cellStyle name="RenvLigneSt 10" xfId="101"/>
    <cellStyle name="RenvLigneSt 11" xfId="102"/>
    <cellStyle name="RenvLigneSt 12" xfId="103"/>
    <cellStyle name="RenvLigneSt 2" xfId="104"/>
    <cellStyle name="RenvLigneSt 3" xfId="105"/>
    <cellStyle name="RenvLigneSt 4" xfId="106"/>
    <cellStyle name="RenvLigneSt 5" xfId="107"/>
    <cellStyle name="RenvLigneSt 6" xfId="108"/>
    <cellStyle name="RenvLigneSt 7" xfId="109"/>
    <cellStyle name="RenvLigneSt 8" xfId="110"/>
    <cellStyle name="RenvLigneSt 9" xfId="111"/>
    <cellStyle name="Excel_BuiltIn_Percent 1" xfId="11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1"/>
  <sheetViews>
    <sheetView tabSelected="1" workbookViewId="0" topLeftCell="A1">
      <selection activeCell="A16" sqref="A16"/>
    </sheetView>
  </sheetViews>
  <sheetFormatPr defaultColWidth="12" defaultRowHeight="11.25"/>
  <cols>
    <col min="1" max="1" width="11" style="1" customWidth="1"/>
    <col min="2" max="2" width="29.33203125" style="2" customWidth="1"/>
    <col min="3" max="3" width="82.83203125" style="2" customWidth="1"/>
    <col min="4" max="16384" width="12" style="2" customWidth="1"/>
  </cols>
  <sheetData>
    <row r="1" s="4" customFormat="1" ht="13.5" customHeight="1">
      <c r="A1" s="3" t="s">
        <v>0</v>
      </c>
    </row>
    <row r="2" s="4" customFormat="1" ht="13.5" customHeight="1">
      <c r="A2" s="3" t="s">
        <v>1</v>
      </c>
    </row>
    <row r="3" s="4" customFormat="1" ht="13.5" customHeight="1">
      <c r="A3" s="5"/>
    </row>
    <row r="4" s="4" customFormat="1" ht="13.5" customHeight="1">
      <c r="A4" s="3" t="s">
        <v>2</v>
      </c>
    </row>
    <row r="5" s="4" customFormat="1" ht="13.5" customHeight="1">
      <c r="A5" s="5" t="s">
        <v>3</v>
      </c>
    </row>
    <row r="6" s="4" customFormat="1" ht="13.5" customHeight="1">
      <c r="A6" s="5" t="s">
        <v>4</v>
      </c>
    </row>
    <row r="7" s="4" customFormat="1" ht="13.5" customHeight="1">
      <c r="A7" s="5" t="s">
        <v>5</v>
      </c>
    </row>
    <row r="8" s="4" customFormat="1" ht="13.5" customHeight="1">
      <c r="A8" s="5" t="s">
        <v>6</v>
      </c>
    </row>
    <row r="9" s="4" customFormat="1" ht="13.5" customHeight="1">
      <c r="A9" s="5" t="s">
        <v>7</v>
      </c>
    </row>
    <row r="10" s="4" customFormat="1" ht="13.5" customHeight="1">
      <c r="A10" s="5" t="s">
        <v>8</v>
      </c>
    </row>
    <row r="11" spans="1:2" s="4" customFormat="1" ht="13.5" customHeight="1">
      <c r="A11" s="5"/>
      <c r="B11" s="4" t="s">
        <v>9</v>
      </c>
    </row>
    <row r="12" s="4" customFormat="1" ht="13.5" customHeight="1">
      <c r="A12" s="5"/>
    </row>
    <row r="13" s="4" customFormat="1" ht="13.5" customHeight="1">
      <c r="A13" s="3" t="s">
        <v>10</v>
      </c>
    </row>
    <row r="14" s="4" customFormat="1" ht="13.5" customHeight="1">
      <c r="A14" s="5" t="s">
        <v>11</v>
      </c>
    </row>
    <row r="15" s="4" customFormat="1" ht="13.5" customHeight="1">
      <c r="A15" s="5" t="s">
        <v>12</v>
      </c>
    </row>
    <row r="16" s="4" customFormat="1" ht="13.5" customHeight="1">
      <c r="A16" s="5" t="s">
        <v>13</v>
      </c>
    </row>
    <row r="17" s="4" customFormat="1" ht="13.5" customHeight="1">
      <c r="A17" s="5" t="s">
        <v>14</v>
      </c>
    </row>
    <row r="18" s="4" customFormat="1" ht="13.5" customHeight="1">
      <c r="A18" s="5" t="s">
        <v>15</v>
      </c>
    </row>
    <row r="19" s="4" customFormat="1" ht="13.5" customHeight="1">
      <c r="A19" s="5" t="s">
        <v>16</v>
      </c>
    </row>
    <row r="20" s="4" customFormat="1" ht="13.5" customHeight="1">
      <c r="A20" s="5"/>
    </row>
    <row r="21" s="4" customFormat="1" ht="13.5" customHeight="1">
      <c r="A21" s="3" t="s">
        <v>17</v>
      </c>
    </row>
    <row r="22" s="4" customFormat="1" ht="13.5" customHeight="1">
      <c r="A22" s="5" t="s">
        <v>18</v>
      </c>
    </row>
    <row r="23" spans="1:256" ht="13.5" customHeight="1">
      <c r="A23" s="5" t="s">
        <v>19</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5" customHeight="1">
      <c r="A24" s="5" t="s">
        <v>20</v>
      </c>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3.5" customHeight="1">
      <c r="A25" s="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4" customFormat="1" ht="13.5" customHeight="1">
      <c r="A26" s="3" t="s">
        <v>21</v>
      </c>
    </row>
    <row r="27" spans="1:2" s="4" customFormat="1" ht="13.5" customHeight="1">
      <c r="A27" s="5" t="s">
        <v>22</v>
      </c>
      <c r="B27"/>
    </row>
    <row r="28" spans="1:2" s="4" customFormat="1" ht="13.5" customHeight="1">
      <c r="A28" s="5" t="s">
        <v>23</v>
      </c>
      <c r="B28"/>
    </row>
    <row r="29" spans="1:2" s="4" customFormat="1" ht="13.5" customHeight="1">
      <c r="A29" s="5" t="s">
        <v>24</v>
      </c>
      <c r="B29"/>
    </row>
    <row r="30" spans="1:2" s="6" customFormat="1" ht="13.5" customHeight="1">
      <c r="A30" s="5" t="s">
        <v>25</v>
      </c>
      <c r="B30"/>
    </row>
    <row r="31" spans="1:2" s="4" customFormat="1" ht="13.5" customHeight="1">
      <c r="A31" s="5" t="s">
        <v>26</v>
      </c>
      <c r="B31" s="5"/>
    </row>
    <row r="32" spans="1:2" s="4" customFormat="1" ht="13.5" customHeight="1">
      <c r="A32" s="5"/>
      <c r="B32"/>
    </row>
    <row r="33" spans="1:2" s="4" customFormat="1" ht="13.5" customHeight="1">
      <c r="A33" s="3" t="s">
        <v>27</v>
      </c>
      <c r="B33"/>
    </row>
    <row r="34" spans="1:2" s="4" customFormat="1" ht="13.5" customHeight="1">
      <c r="A34" s="5" t="s">
        <v>28</v>
      </c>
      <c r="B34"/>
    </row>
    <row r="35" spans="1:2" s="4" customFormat="1" ht="13.5" customHeight="1">
      <c r="A35" s="5" t="s">
        <v>29</v>
      </c>
      <c r="B35"/>
    </row>
    <row r="36" spans="1:2" s="4" customFormat="1" ht="13.5" customHeight="1">
      <c r="A36" s="5" t="s">
        <v>30</v>
      </c>
      <c r="B36"/>
    </row>
    <row r="37" spans="1:2" s="4" customFormat="1" ht="13.5" customHeight="1">
      <c r="A37" s="5"/>
      <c r="B37"/>
    </row>
    <row r="38" spans="1:2" s="4" customFormat="1" ht="13.5" customHeight="1">
      <c r="A38" s="3" t="s">
        <v>31</v>
      </c>
      <c r="B38"/>
    </row>
    <row r="39" spans="1:2" s="4" customFormat="1" ht="13.5" customHeight="1">
      <c r="A39" s="5" t="s">
        <v>32</v>
      </c>
      <c r="B39"/>
    </row>
    <row r="40" spans="1:2" s="4" customFormat="1" ht="13.5" customHeight="1">
      <c r="A40" s="5" t="s">
        <v>33</v>
      </c>
      <c r="B40"/>
    </row>
    <row r="41" spans="1:2" s="4" customFormat="1" ht="13.5" customHeight="1">
      <c r="A41" s="5" t="s">
        <v>34</v>
      </c>
      <c r="B41"/>
    </row>
    <row r="42" spans="1:2" s="4" customFormat="1" ht="13.5" customHeight="1">
      <c r="A42" s="5" t="s">
        <v>35</v>
      </c>
      <c r="B42"/>
    </row>
    <row r="43" s="4" customFormat="1" ht="13.5" customHeight="1">
      <c r="A43"/>
    </row>
    <row r="44" spans="1:3" ht="13.5">
      <c r="A44" s="3" t="s">
        <v>36</v>
      </c>
      <c r="B44" s="7"/>
      <c r="C44" s="8"/>
    </row>
    <row r="45" spans="1:3" ht="13.5">
      <c r="A45" s="5" t="s">
        <v>37</v>
      </c>
      <c r="B45" s="7"/>
      <c r="C45" s="8"/>
    </row>
    <row r="46" spans="1:3" ht="13.5">
      <c r="A46" s="5"/>
      <c r="B46" s="7"/>
      <c r="C46" s="8"/>
    </row>
    <row r="47" spans="1:3" ht="13.5">
      <c r="A47" s="3" t="s">
        <v>38</v>
      </c>
      <c r="B47" s="7"/>
      <c r="C47" s="8"/>
    </row>
    <row r="48" spans="1:3" ht="13.5">
      <c r="A48" s="5" t="s">
        <v>39</v>
      </c>
      <c r="B48" s="7"/>
      <c r="C48" s="8"/>
    </row>
    <row r="49" spans="1:3" ht="13.5">
      <c r="A49" s="5" t="s">
        <v>40</v>
      </c>
      <c r="B49" s="7"/>
      <c r="C49" s="8"/>
    </row>
    <row r="50" spans="1:3" ht="13.5">
      <c r="A50" s="5" t="s">
        <v>41</v>
      </c>
      <c r="B50" s="7"/>
      <c r="C50" s="8"/>
    </row>
    <row r="51" spans="1:3" ht="13.5">
      <c r="A51" s="5" t="s">
        <v>42</v>
      </c>
      <c r="B51" s="7"/>
      <c r="C51" s="8"/>
    </row>
    <row r="52" spans="1:3" ht="13.5">
      <c r="A52" s="5"/>
      <c r="B52" s="7"/>
      <c r="C52" s="8"/>
    </row>
    <row r="53" spans="1:3" ht="13.5">
      <c r="A53" s="3" t="s">
        <v>43</v>
      </c>
      <c r="B53" s="7"/>
      <c r="C53" s="8"/>
    </row>
    <row r="54" spans="1:3" ht="13.5">
      <c r="A54" s="5" t="s">
        <v>44</v>
      </c>
      <c r="B54" s="7"/>
      <c r="C54" s="8"/>
    </row>
    <row r="55" spans="1:3" ht="13.5">
      <c r="A55" s="5"/>
      <c r="B55" s="7"/>
      <c r="C55" s="8"/>
    </row>
    <row r="56" spans="1:3" ht="13.5">
      <c r="A56" s="3" t="s">
        <v>45</v>
      </c>
      <c r="B56" s="7"/>
      <c r="C56" s="8"/>
    </row>
    <row r="57" spans="1:3" ht="13.5">
      <c r="A57" s="5" t="s">
        <v>46</v>
      </c>
      <c r="B57" s="7"/>
      <c r="C57" s="8"/>
    </row>
    <row r="58" spans="1:3" ht="12">
      <c r="A58" s="9"/>
      <c r="B58" s="7"/>
      <c r="C58" s="8"/>
    </row>
    <row r="59" spans="1:3" ht="12">
      <c r="A59" s="9"/>
      <c r="B59" s="10" t="s">
        <v>47</v>
      </c>
      <c r="C59" s="8"/>
    </row>
    <row r="60" spans="2:3" ht="12">
      <c r="B60" s="7"/>
      <c r="C60" s="8"/>
    </row>
    <row r="61" spans="1:3" ht="18" customHeight="1">
      <c r="A61" s="11">
        <v>100000</v>
      </c>
      <c r="B61" s="12" t="s">
        <v>48</v>
      </c>
      <c r="C61" s="13" t="s">
        <v>49</v>
      </c>
    </row>
    <row r="62" spans="1:3" ht="29.25" customHeight="1">
      <c r="A62" s="11">
        <v>110000</v>
      </c>
      <c r="B62" s="12">
        <f>VLOOKUP(A62,Comptes!$A$2:$B$44,2,FALSE)</f>
        <v>0</v>
      </c>
      <c r="C62" s="13" t="s">
        <v>50</v>
      </c>
    </row>
    <row r="63" spans="1:3" ht="29.25" customHeight="1">
      <c r="A63" s="14">
        <v>120000</v>
      </c>
      <c r="B63" s="12">
        <f>VLOOKUP(A63,Comptes!$A$2:$B$44,2,FALSE)</f>
        <v>0</v>
      </c>
      <c r="C63" s="13" t="s">
        <v>51</v>
      </c>
    </row>
    <row r="64" spans="1:3" ht="18" customHeight="1">
      <c r="A64" s="14">
        <v>200000</v>
      </c>
      <c r="B64" s="12" t="s">
        <v>52</v>
      </c>
      <c r="C64" s="13" t="s">
        <v>53</v>
      </c>
    </row>
    <row r="65" spans="1:3" ht="40.5" customHeight="1">
      <c r="A65" s="14">
        <v>210000</v>
      </c>
      <c r="B65" s="12">
        <f>VLOOKUP(A65,Comptes!$A$2:$B$44,2,FALSE)</f>
        <v>0</v>
      </c>
      <c r="C65" s="13" t="s">
        <v>54</v>
      </c>
    </row>
    <row r="66" spans="1:3" ht="74.25" customHeight="1">
      <c r="A66" s="14">
        <v>281000</v>
      </c>
      <c r="B66" s="12">
        <f>VLOOKUP(A66,Comptes!$A$2:$B$44,2,FALSE)</f>
        <v>0</v>
      </c>
      <c r="C66" s="13" t="s">
        <v>55</v>
      </c>
    </row>
    <row r="67" spans="1:3" ht="18" customHeight="1">
      <c r="A67" s="14">
        <v>300000</v>
      </c>
      <c r="B67" s="12" t="s">
        <v>56</v>
      </c>
      <c r="C67" s="13" t="s">
        <v>57</v>
      </c>
    </row>
    <row r="68" spans="1:3" ht="18" customHeight="1">
      <c r="A68" s="14">
        <v>400000</v>
      </c>
      <c r="B68" s="12" t="s">
        <v>58</v>
      </c>
      <c r="C68" s="13" t="s">
        <v>59</v>
      </c>
    </row>
    <row r="69" spans="1:3" ht="74.25" customHeight="1">
      <c r="A69" s="14">
        <v>430000</v>
      </c>
      <c r="B69" s="12">
        <f>VLOOKUP(A69,Comptes!$A$2:$B$44,2,FALSE)</f>
        <v>0</v>
      </c>
      <c r="C69" s="15" t="s">
        <v>60</v>
      </c>
    </row>
    <row r="70" spans="1:3" ht="74.25" customHeight="1">
      <c r="A70" s="14">
        <v>468600</v>
      </c>
      <c r="B70" s="12">
        <f>VLOOKUP(A70,Comptes!$A$2:$B$44,2,FALSE)</f>
        <v>0</v>
      </c>
      <c r="C70" s="15" t="s">
        <v>61</v>
      </c>
    </row>
    <row r="71" spans="1:3" ht="18" customHeight="1">
      <c r="A71" s="14">
        <v>500000</v>
      </c>
      <c r="B71" s="12" t="s">
        <v>62</v>
      </c>
      <c r="C71" s="13" t="s">
        <v>53</v>
      </c>
    </row>
    <row r="72" spans="1:3" ht="141" customHeight="1">
      <c r="A72" s="11">
        <v>511200</v>
      </c>
      <c r="B72" s="12">
        <f>VLOOKUP(A72,Comptes!$A$2:$B$44,2,FALSE)</f>
        <v>0</v>
      </c>
      <c r="C72" s="13" t="s">
        <v>63</v>
      </c>
    </row>
    <row r="73" spans="1:3" ht="29.25" customHeight="1">
      <c r="A73" s="11">
        <v>512000</v>
      </c>
      <c r="B73" s="12">
        <f>VLOOKUP(A73,Comptes!$A$2:$B$44,2,FALSE)</f>
        <v>0</v>
      </c>
      <c r="C73" s="13" t="s">
        <v>64</v>
      </c>
    </row>
    <row r="74" spans="1:3" ht="29.25" customHeight="1">
      <c r="A74" s="11">
        <v>530000</v>
      </c>
      <c r="B74" s="12">
        <f>VLOOKUP(A74,Comptes!$A$2:$B$44,2,FALSE)</f>
        <v>0</v>
      </c>
      <c r="C74" s="13" t="s">
        <v>65</v>
      </c>
    </row>
    <row r="75" spans="1:3" ht="29.25" customHeight="1">
      <c r="A75" s="11">
        <v>600000</v>
      </c>
      <c r="B75" s="12" t="s">
        <v>66</v>
      </c>
      <c r="C75" s="13" t="s">
        <v>67</v>
      </c>
    </row>
    <row r="76" spans="1:3" ht="18" customHeight="1">
      <c r="A76" s="14">
        <v>606110</v>
      </c>
      <c r="B76" s="12">
        <f>VLOOKUP(A76,Comptes!$A$2:$B$44,2,FALSE)</f>
        <v>0</v>
      </c>
      <c r="C76" s="15" t="s">
        <v>68</v>
      </c>
    </row>
    <row r="77" spans="1:3" ht="18" customHeight="1">
      <c r="A77" s="14">
        <v>606120</v>
      </c>
      <c r="B77" s="12">
        <f>VLOOKUP(A77,Comptes!$A$2:$B$44,2,FALSE)</f>
        <v>0</v>
      </c>
      <c r="C77" s="15" t="s">
        <v>69</v>
      </c>
    </row>
    <row r="78" spans="1:3" ht="18" customHeight="1">
      <c r="A78" s="14">
        <v>606150</v>
      </c>
      <c r="B78" s="12">
        <f>VLOOKUP(A78,Comptes!$A$2:$B$44,2,FALSE)</f>
        <v>0</v>
      </c>
      <c r="C78" s="15" t="s">
        <v>70</v>
      </c>
    </row>
    <row r="79" spans="1:3" ht="18" customHeight="1">
      <c r="A79" s="14">
        <v>622600</v>
      </c>
      <c r="B79" s="12">
        <f>VLOOKUP(A79,Comptes!$A$2:$B$44,2,FALSE)</f>
        <v>0</v>
      </c>
      <c r="C79" s="15" t="s">
        <v>71</v>
      </c>
    </row>
    <row r="80" spans="1:3" ht="29.25" customHeight="1">
      <c r="A80" s="14">
        <v>680000</v>
      </c>
      <c r="B80" s="12">
        <f>VLOOKUP(A80,Comptes!$A$2:$B$44,2,FALSE)</f>
        <v>0</v>
      </c>
      <c r="C80" s="15" t="s">
        <v>72</v>
      </c>
    </row>
    <row r="81" spans="1:3" ht="29.25" customHeight="1">
      <c r="A81" s="14">
        <v>700000</v>
      </c>
      <c r="B81" s="12" t="s">
        <v>73</v>
      </c>
      <c r="C81" s="15" t="s">
        <v>74</v>
      </c>
    </row>
    <row r="82" spans="1:3" ht="29.25" customHeight="1">
      <c r="A82" s="14"/>
      <c r="B82" s="14" t="s">
        <v>75</v>
      </c>
      <c r="C82" s="15" t="s">
        <v>76</v>
      </c>
    </row>
    <row r="83" spans="1:3" ht="29.25" customHeight="1">
      <c r="A83" s="14"/>
      <c r="B83" s="14" t="s">
        <v>77</v>
      </c>
      <c r="C83" s="15" t="s">
        <v>78</v>
      </c>
    </row>
    <row r="84" spans="1:3" ht="51.75" customHeight="1">
      <c r="A84" s="11"/>
      <c r="B84" s="11" t="s">
        <v>79</v>
      </c>
      <c r="C84" s="15" t="s">
        <v>80</v>
      </c>
    </row>
    <row r="85" spans="1:3" ht="96" customHeight="1">
      <c r="A85" s="14"/>
      <c r="B85" s="14" t="s">
        <v>81</v>
      </c>
      <c r="C85" s="13" t="s">
        <v>82</v>
      </c>
    </row>
    <row r="86" spans="1:3" ht="63" customHeight="1">
      <c r="A86" s="11"/>
      <c r="B86" s="11" t="s">
        <v>83</v>
      </c>
      <c r="C86" s="13" t="s">
        <v>84</v>
      </c>
    </row>
    <row r="87" spans="1:3" ht="29.25" customHeight="1">
      <c r="A87" s="11"/>
      <c r="B87" s="11" t="s">
        <v>85</v>
      </c>
      <c r="C87" s="15" t="s">
        <v>86</v>
      </c>
    </row>
    <row r="88" spans="1:3" ht="40.5" customHeight="1">
      <c r="A88" s="11"/>
      <c r="B88" s="11" t="s">
        <v>87</v>
      </c>
      <c r="C88" s="15" t="s">
        <v>88</v>
      </c>
    </row>
    <row r="89" spans="1:3" ht="29.25" customHeight="1">
      <c r="A89" s="14"/>
      <c r="B89" s="14" t="s">
        <v>89</v>
      </c>
      <c r="C89" s="15" t="s">
        <v>90</v>
      </c>
    </row>
    <row r="90" spans="1:3" ht="51.75" customHeight="1">
      <c r="A90" s="14"/>
      <c r="B90" s="14" t="s">
        <v>91</v>
      </c>
      <c r="C90" s="15" t="s">
        <v>92</v>
      </c>
    </row>
    <row r="91" spans="1:3" ht="40.5" customHeight="1">
      <c r="A91" s="14"/>
      <c r="B91" s="14" t="s">
        <v>93</v>
      </c>
      <c r="C91" s="13" t="s">
        <v>94</v>
      </c>
    </row>
  </sheetData>
  <sheetProtection selectLockedCells="1" selectUnlockedCells="1"/>
  <printOptions/>
  <pageMargins left="0.27569444444444446" right="0.27569444444444446" top="0.5513888888888889" bottom="0.27569444444444446" header="0.27569444444444446" footer="0.5118055555555555"/>
  <pageSetup horizontalDpi="300" verticalDpi="300" orientation="portrait" paperSize="9"/>
  <headerFooter alignWithMargins="0">
    <oddHeader>&amp;L&amp;F&amp;CMode opératoire&amp;R&amp;P/&amp;N</oddHead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dimension ref="A1:IV48"/>
  <sheetViews>
    <sheetView workbookViewId="0" topLeftCell="A1">
      <pane ySplit="1005" topLeftCell="A12" activePane="bottomLeft" state="split"/>
      <selection pane="topLeft" activeCell="A1" sqref="A1"/>
      <selection pane="bottomLeft" activeCell="I46" sqref="I46"/>
    </sheetView>
  </sheetViews>
  <sheetFormatPr defaultColWidth="12" defaultRowHeight="11.25"/>
  <cols>
    <col min="1" max="1" width="12.5" style="16" customWidth="1"/>
    <col min="2" max="2" width="36.5" style="17" customWidth="1"/>
    <col min="3" max="5" width="13.83203125" style="17" customWidth="1"/>
    <col min="6" max="6" width="10.83203125" style="17" customWidth="1"/>
    <col min="7" max="8" width="11.16015625" style="18" customWidth="1"/>
    <col min="9" max="9" width="10.83203125" style="18" customWidth="1"/>
    <col min="10" max="253" width="10.83203125" style="17" customWidth="1"/>
    <col min="254" max="16384" width="10.83203125" style="0" customWidth="1"/>
  </cols>
  <sheetData>
    <row r="1" spans="1:256" s="23" customFormat="1" ht="23.25">
      <c r="A1" s="19" t="s">
        <v>83</v>
      </c>
      <c r="B1" s="20" t="s">
        <v>95</v>
      </c>
      <c r="C1" s="21" t="s">
        <v>96</v>
      </c>
      <c r="D1" s="21" t="s">
        <v>97</v>
      </c>
      <c r="E1" s="22" t="s">
        <v>98</v>
      </c>
      <c r="G1" s="24" t="s">
        <v>99</v>
      </c>
      <c r="H1" s="24" t="s">
        <v>100</v>
      </c>
      <c r="I1" s="25" t="s">
        <v>98</v>
      </c>
      <c r="IT1"/>
      <c r="IU1"/>
      <c r="IV1"/>
    </row>
    <row r="2" spans="1:256" s="27" customFormat="1" ht="13.5" customHeight="1">
      <c r="A2" s="26">
        <v>110000</v>
      </c>
      <c r="B2" s="27" t="s">
        <v>101</v>
      </c>
      <c r="C2" s="28">
        <f aca="true" t="shared" si="0" ref="C2:C44">SUMPRODUCT((BDDCpteDebit=$A2)*(BDDDate&lt;=$E$46)*1,BDDMontant)</f>
        <v>0</v>
      </c>
      <c r="D2" s="28">
        <f aca="true" t="shared" si="1" ref="D2:D44">SUMPRODUCT((BDDCpteCredit=$A2)*(BDDDate&lt;=$E$46)*1,BDDMontant)</f>
        <v>13783.51999999996</v>
      </c>
      <c r="E2" s="28">
        <f aca="true" t="shared" si="2" ref="E2:E44">C2-D2</f>
        <v>-13783.51999999996</v>
      </c>
      <c r="G2" s="29">
        <f aca="true" t="shared" si="3" ref="G2:G44">SUMPRODUCT((BDDCpteDebitOld=$A2)*(BDDDateOld&lt;=$I$46)*1,BDDMontantOld)</f>
        <v>0</v>
      </c>
      <c r="H2" s="29">
        <f aca="true" t="shared" si="4" ref="H2:H44">SUMPRODUCT((BDDCpteCreditOld=$A2)*(BDDDateOld&lt;=$I$46)*1,BDDMontantOld)</f>
        <v>10703.92</v>
      </c>
      <c r="I2" s="29">
        <f aca="true" t="shared" si="5" ref="I2:I44">G2-H2</f>
        <v>-10703.92</v>
      </c>
      <c r="IT2"/>
      <c r="IU2"/>
      <c r="IV2"/>
    </row>
    <row r="3" spans="1:256" s="23" customFormat="1" ht="13.5" customHeight="1">
      <c r="A3" s="30">
        <v>120000</v>
      </c>
      <c r="B3" s="23" t="s">
        <v>102</v>
      </c>
      <c r="C3" s="28">
        <f t="shared" si="0"/>
        <v>0</v>
      </c>
      <c r="D3" s="28">
        <f t="shared" si="1"/>
        <v>0</v>
      </c>
      <c r="E3" s="28">
        <f t="shared" si="2"/>
        <v>0</v>
      </c>
      <c r="F3" s="27"/>
      <c r="G3" s="29">
        <f t="shared" si="3"/>
        <v>0</v>
      </c>
      <c r="H3" s="29">
        <f t="shared" si="4"/>
        <v>0</v>
      </c>
      <c r="I3" s="29">
        <f t="shared" si="5"/>
        <v>0</v>
      </c>
      <c r="IT3"/>
      <c r="IU3"/>
      <c r="IV3"/>
    </row>
    <row r="4" spans="1:256" s="23" customFormat="1" ht="13.5" customHeight="1">
      <c r="A4" s="26">
        <v>210000</v>
      </c>
      <c r="B4" s="27" t="s">
        <v>103</v>
      </c>
      <c r="C4" s="28">
        <f t="shared" si="0"/>
        <v>67917.66</v>
      </c>
      <c r="D4" s="28">
        <f t="shared" si="1"/>
        <v>0</v>
      </c>
      <c r="E4" s="28">
        <f t="shared" si="2"/>
        <v>67917.66</v>
      </c>
      <c r="F4" s="27"/>
      <c r="G4" s="29">
        <f t="shared" si="3"/>
        <v>67151.66</v>
      </c>
      <c r="H4" s="29">
        <f t="shared" si="4"/>
        <v>0</v>
      </c>
      <c r="I4" s="29">
        <f t="shared" si="5"/>
        <v>67151.66</v>
      </c>
      <c r="IT4"/>
      <c r="IU4"/>
      <c r="IV4"/>
    </row>
    <row r="5" spans="1:256" s="23" customFormat="1" ht="13.5" customHeight="1">
      <c r="A5" s="30">
        <v>281000</v>
      </c>
      <c r="B5" s="23" t="s">
        <v>104</v>
      </c>
      <c r="C5" s="28">
        <f t="shared" si="0"/>
        <v>0</v>
      </c>
      <c r="D5" s="28">
        <f t="shared" si="1"/>
        <v>62774.48</v>
      </c>
      <c r="E5" s="28">
        <f t="shared" si="2"/>
        <v>-62774.48</v>
      </c>
      <c r="F5" s="27"/>
      <c r="G5" s="29">
        <f t="shared" si="3"/>
        <v>0</v>
      </c>
      <c r="H5" s="29">
        <f t="shared" si="4"/>
        <v>59642.03</v>
      </c>
      <c r="I5" s="29">
        <f t="shared" si="5"/>
        <v>-59642.03</v>
      </c>
      <c r="IT5"/>
      <c r="IU5"/>
      <c r="IV5"/>
    </row>
    <row r="6" spans="1:256" s="23" customFormat="1" ht="13.5" customHeight="1">
      <c r="A6" s="26">
        <v>430000</v>
      </c>
      <c r="B6" s="27" t="s">
        <v>105</v>
      </c>
      <c r="C6" s="28">
        <f t="shared" si="0"/>
        <v>0</v>
      </c>
      <c r="D6" s="28">
        <f t="shared" si="1"/>
        <v>0</v>
      </c>
      <c r="E6" s="28">
        <f t="shared" si="2"/>
        <v>0</v>
      </c>
      <c r="F6" s="27"/>
      <c r="G6" s="29">
        <f t="shared" si="3"/>
        <v>2661</v>
      </c>
      <c r="H6" s="29">
        <f t="shared" si="4"/>
        <v>2661</v>
      </c>
      <c r="I6" s="29">
        <f t="shared" si="5"/>
        <v>0</v>
      </c>
      <c r="IT6"/>
      <c r="IU6"/>
      <c r="IV6"/>
    </row>
    <row r="7" spans="1:256" s="23" customFormat="1" ht="13.5" customHeight="1">
      <c r="A7" s="30">
        <v>468600</v>
      </c>
      <c r="B7" s="23" t="s">
        <v>106</v>
      </c>
      <c r="C7" s="28">
        <f t="shared" si="0"/>
        <v>2920.5</v>
      </c>
      <c r="D7" s="28">
        <f t="shared" si="1"/>
        <v>2920.5</v>
      </c>
      <c r="E7" s="28">
        <f t="shared" si="2"/>
        <v>0</v>
      </c>
      <c r="F7" s="27"/>
      <c r="G7" s="29">
        <f t="shared" si="3"/>
        <v>11875.67</v>
      </c>
      <c r="H7" s="29">
        <f t="shared" si="4"/>
        <v>11875.67</v>
      </c>
      <c r="I7" s="29">
        <f t="shared" si="5"/>
        <v>0</v>
      </c>
      <c r="IT7"/>
      <c r="IU7"/>
      <c r="IV7"/>
    </row>
    <row r="8" spans="1:256" s="27" customFormat="1" ht="13.5" customHeight="1">
      <c r="A8" s="26">
        <v>511200</v>
      </c>
      <c r="B8" s="27" t="s">
        <v>107</v>
      </c>
      <c r="C8" s="28">
        <f t="shared" si="0"/>
        <v>19109</v>
      </c>
      <c r="D8" s="28">
        <f t="shared" si="1"/>
        <v>3529</v>
      </c>
      <c r="E8" s="28">
        <f t="shared" si="2"/>
        <v>15580</v>
      </c>
      <c r="G8" s="29">
        <f t="shared" si="3"/>
        <v>1653</v>
      </c>
      <c r="H8" s="29">
        <f t="shared" si="4"/>
        <v>1017</v>
      </c>
      <c r="I8" s="29">
        <f t="shared" si="5"/>
        <v>636</v>
      </c>
      <c r="IT8"/>
      <c r="IU8"/>
      <c r="IV8"/>
    </row>
    <row r="9" spans="1:256" s="23" customFormat="1" ht="13.5" customHeight="1">
      <c r="A9" s="30">
        <v>512000</v>
      </c>
      <c r="B9" s="23" t="s">
        <v>108</v>
      </c>
      <c r="C9" s="28">
        <f t="shared" si="0"/>
        <v>75022.20999999999</v>
      </c>
      <c r="D9" s="28">
        <f t="shared" si="1"/>
        <v>66351.68000000001</v>
      </c>
      <c r="E9" s="28">
        <f t="shared" si="2"/>
        <v>8670.529999999984</v>
      </c>
      <c r="F9" s="27"/>
      <c r="G9" s="29">
        <f t="shared" si="3"/>
        <v>73130.54</v>
      </c>
      <c r="H9" s="29">
        <f t="shared" si="4"/>
        <v>63323.400000000016</v>
      </c>
      <c r="I9" s="29">
        <f t="shared" si="5"/>
        <v>9807.139999999978</v>
      </c>
      <c r="IT9"/>
      <c r="IU9"/>
      <c r="IV9"/>
    </row>
    <row r="10" spans="1:256" s="23" customFormat="1" ht="13.5" customHeight="1">
      <c r="A10" s="30">
        <v>512100</v>
      </c>
      <c r="B10" s="23" t="s">
        <v>109</v>
      </c>
      <c r="C10" s="28">
        <f t="shared" si="0"/>
        <v>11902.16</v>
      </c>
      <c r="D10" s="28">
        <f t="shared" si="1"/>
        <v>5000</v>
      </c>
      <c r="E10" s="28">
        <f t="shared" si="2"/>
        <v>6902.16</v>
      </c>
      <c r="F10" s="27"/>
      <c r="G10" s="29">
        <f t="shared" si="3"/>
        <v>5775.84</v>
      </c>
      <c r="H10" s="29">
        <f t="shared" si="4"/>
        <v>0</v>
      </c>
      <c r="I10" s="29">
        <f t="shared" si="5"/>
        <v>5775.84</v>
      </c>
      <c r="IT10"/>
      <c r="IU10"/>
      <c r="IV10"/>
    </row>
    <row r="11" spans="1:256" s="23" customFormat="1" ht="13.5" customHeight="1">
      <c r="A11" s="30">
        <v>530000</v>
      </c>
      <c r="B11" s="23" t="s">
        <v>110</v>
      </c>
      <c r="C11" s="28">
        <f t="shared" si="0"/>
        <v>10755.769999999999</v>
      </c>
      <c r="D11" s="28">
        <f t="shared" si="1"/>
        <v>10444.829999999998</v>
      </c>
      <c r="E11" s="28">
        <f t="shared" si="2"/>
        <v>310.9400000000005</v>
      </c>
      <c r="F11" s="27"/>
      <c r="G11" s="29">
        <f t="shared" si="3"/>
        <v>9098.310000000001</v>
      </c>
      <c r="H11" s="29">
        <f t="shared" si="4"/>
        <v>8227.39</v>
      </c>
      <c r="I11" s="29">
        <f t="shared" si="5"/>
        <v>870.9200000000019</v>
      </c>
      <c r="IT11"/>
      <c r="IU11"/>
      <c r="IV11"/>
    </row>
    <row r="12" spans="1:256" s="23" customFormat="1" ht="13.5" customHeight="1">
      <c r="A12" s="26">
        <v>606110</v>
      </c>
      <c r="B12" s="27" t="s">
        <v>111</v>
      </c>
      <c r="C12" s="28">
        <f t="shared" si="0"/>
        <v>1217.88</v>
      </c>
      <c r="D12" s="28">
        <f t="shared" si="1"/>
        <v>65.84</v>
      </c>
      <c r="E12" s="28">
        <f t="shared" si="2"/>
        <v>1152.0400000000002</v>
      </c>
      <c r="F12" s="27"/>
      <c r="G12" s="29">
        <f t="shared" si="3"/>
        <v>1374.3100000000002</v>
      </c>
      <c r="H12" s="29">
        <f t="shared" si="4"/>
        <v>62.540000000000006</v>
      </c>
      <c r="I12" s="29">
        <f t="shared" si="5"/>
        <v>1311.7700000000002</v>
      </c>
      <c r="IT12"/>
      <c r="IU12"/>
      <c r="IV12"/>
    </row>
    <row r="13" spans="1:256" s="23" customFormat="1" ht="13.5" customHeight="1">
      <c r="A13" s="30">
        <v>606120</v>
      </c>
      <c r="B13" s="23" t="s">
        <v>112</v>
      </c>
      <c r="C13" s="28">
        <f t="shared" si="0"/>
        <v>411.08</v>
      </c>
      <c r="D13" s="28">
        <f t="shared" si="1"/>
        <v>0</v>
      </c>
      <c r="E13" s="28">
        <f t="shared" si="2"/>
        <v>411.08</v>
      </c>
      <c r="F13" s="27"/>
      <c r="G13" s="29">
        <f t="shared" si="3"/>
        <v>420.22</v>
      </c>
      <c r="H13" s="29">
        <f t="shared" si="4"/>
        <v>0</v>
      </c>
      <c r="I13" s="29">
        <f t="shared" si="5"/>
        <v>420.22</v>
      </c>
      <c r="IT13"/>
      <c r="IU13"/>
      <c r="IV13"/>
    </row>
    <row r="14" spans="1:256" s="23" customFormat="1" ht="13.5" customHeight="1">
      <c r="A14" s="30">
        <v>606150</v>
      </c>
      <c r="B14" s="23" t="s">
        <v>113</v>
      </c>
      <c r="C14" s="28">
        <f t="shared" si="0"/>
        <v>5328.53</v>
      </c>
      <c r="D14" s="28">
        <f t="shared" si="1"/>
        <v>0</v>
      </c>
      <c r="E14" s="28">
        <f t="shared" si="2"/>
        <v>5328.53</v>
      </c>
      <c r="F14" s="27"/>
      <c r="G14" s="29">
        <f t="shared" si="3"/>
        <v>6247.61</v>
      </c>
      <c r="H14" s="29">
        <f t="shared" si="4"/>
        <v>24.8</v>
      </c>
      <c r="I14" s="29">
        <f t="shared" si="5"/>
        <v>6222.8099999999995</v>
      </c>
      <c r="IT14"/>
      <c r="IU14"/>
      <c r="IV14"/>
    </row>
    <row r="15" spans="1:256" s="23" customFormat="1" ht="13.5" customHeight="1">
      <c r="A15" s="30">
        <v>606300</v>
      </c>
      <c r="B15" s="23" t="s">
        <v>114</v>
      </c>
      <c r="C15" s="28">
        <f t="shared" si="0"/>
        <v>761.72</v>
      </c>
      <c r="D15" s="28">
        <f t="shared" si="1"/>
        <v>0</v>
      </c>
      <c r="E15" s="28">
        <f t="shared" si="2"/>
        <v>761.72</v>
      </c>
      <c r="F15" s="27"/>
      <c r="G15" s="29">
        <f t="shared" si="3"/>
        <v>993.88</v>
      </c>
      <c r="H15" s="29">
        <f t="shared" si="4"/>
        <v>0</v>
      </c>
      <c r="I15" s="29">
        <f t="shared" si="5"/>
        <v>993.88</v>
      </c>
      <c r="IT15"/>
      <c r="IU15"/>
      <c r="IV15"/>
    </row>
    <row r="16" spans="1:256" s="23" customFormat="1" ht="13.5" customHeight="1">
      <c r="A16" s="30">
        <v>606400</v>
      </c>
      <c r="B16" s="23" t="s">
        <v>115</v>
      </c>
      <c r="C16" s="28">
        <f t="shared" si="0"/>
        <v>875.83</v>
      </c>
      <c r="D16" s="28">
        <f t="shared" si="1"/>
        <v>0</v>
      </c>
      <c r="E16" s="28">
        <f t="shared" si="2"/>
        <v>875.83</v>
      </c>
      <c r="F16" s="27"/>
      <c r="G16" s="29">
        <f t="shared" si="3"/>
        <v>1301.71</v>
      </c>
      <c r="H16" s="29">
        <f t="shared" si="4"/>
        <v>0</v>
      </c>
      <c r="I16" s="29">
        <f t="shared" si="5"/>
        <v>1301.71</v>
      </c>
      <c r="IT16"/>
      <c r="IU16"/>
      <c r="IV16"/>
    </row>
    <row r="17" spans="1:256" s="23" customFormat="1" ht="13.5" customHeight="1">
      <c r="A17" s="30">
        <v>606700</v>
      </c>
      <c r="B17" s="23" t="s">
        <v>116</v>
      </c>
      <c r="C17" s="28">
        <f t="shared" si="0"/>
        <v>6551.799999999999</v>
      </c>
      <c r="D17" s="28">
        <f t="shared" si="1"/>
        <v>0</v>
      </c>
      <c r="E17" s="28">
        <f t="shared" si="2"/>
        <v>6551.799999999999</v>
      </c>
      <c r="F17" s="27"/>
      <c r="G17" s="29">
        <f t="shared" si="3"/>
        <v>6720.850000000002</v>
      </c>
      <c r="H17" s="29">
        <f t="shared" si="4"/>
        <v>0</v>
      </c>
      <c r="I17" s="29">
        <f t="shared" si="5"/>
        <v>6720.850000000002</v>
      </c>
      <c r="IT17"/>
      <c r="IU17"/>
      <c r="IV17"/>
    </row>
    <row r="18" spans="1:256" s="23" customFormat="1" ht="13.5" customHeight="1">
      <c r="A18" s="30">
        <v>613100</v>
      </c>
      <c r="B18" s="23" t="s">
        <v>117</v>
      </c>
      <c r="C18" s="28">
        <f t="shared" si="0"/>
        <v>5010</v>
      </c>
      <c r="D18" s="28">
        <f t="shared" si="1"/>
        <v>0</v>
      </c>
      <c r="E18" s="28">
        <f t="shared" si="2"/>
        <v>5010</v>
      </c>
      <c r="F18" s="27"/>
      <c r="G18" s="29">
        <f t="shared" si="3"/>
        <v>3660</v>
      </c>
      <c r="H18" s="29">
        <f t="shared" si="4"/>
        <v>0</v>
      </c>
      <c r="I18" s="29">
        <f t="shared" si="5"/>
        <v>3660</v>
      </c>
      <c r="IT18"/>
      <c r="IU18"/>
      <c r="IV18"/>
    </row>
    <row r="19" spans="1:256" s="23" customFormat="1" ht="13.5" customHeight="1">
      <c r="A19" s="30">
        <v>613200</v>
      </c>
      <c r="B19" s="23" t="s">
        <v>118</v>
      </c>
      <c r="C19" s="28">
        <f t="shared" si="0"/>
        <v>6821.27</v>
      </c>
      <c r="D19" s="28">
        <f t="shared" si="1"/>
        <v>0</v>
      </c>
      <c r="E19" s="28">
        <f t="shared" si="2"/>
        <v>6821.27</v>
      </c>
      <c r="F19" s="27"/>
      <c r="G19" s="29">
        <f t="shared" si="3"/>
        <v>6744.5</v>
      </c>
      <c r="H19" s="29">
        <f t="shared" si="4"/>
        <v>0</v>
      </c>
      <c r="I19" s="29">
        <f t="shared" si="5"/>
        <v>6744.5</v>
      </c>
      <c r="IT19"/>
      <c r="IU19"/>
      <c r="IV19"/>
    </row>
    <row r="20" spans="1:256" s="23" customFormat="1" ht="13.5" customHeight="1">
      <c r="A20" s="30">
        <v>615000</v>
      </c>
      <c r="B20" s="23" t="s">
        <v>119</v>
      </c>
      <c r="C20" s="28">
        <f t="shared" si="0"/>
        <v>2584.19</v>
      </c>
      <c r="D20" s="28">
        <f t="shared" si="1"/>
        <v>0</v>
      </c>
      <c r="E20" s="28">
        <f t="shared" si="2"/>
        <v>2584.19</v>
      </c>
      <c r="F20" s="27"/>
      <c r="G20" s="29">
        <f t="shared" si="3"/>
        <v>2461.16</v>
      </c>
      <c r="H20" s="29">
        <f t="shared" si="4"/>
        <v>0</v>
      </c>
      <c r="I20" s="29">
        <f t="shared" si="5"/>
        <v>2461.16</v>
      </c>
      <c r="IT20"/>
      <c r="IU20"/>
      <c r="IV20"/>
    </row>
    <row r="21" spans="1:256" s="23" customFormat="1" ht="13.5" customHeight="1">
      <c r="A21" s="30">
        <v>616000</v>
      </c>
      <c r="B21" s="23" t="s">
        <v>120</v>
      </c>
      <c r="C21" s="28">
        <f t="shared" si="0"/>
        <v>0</v>
      </c>
      <c r="D21" s="28">
        <f t="shared" si="1"/>
        <v>0</v>
      </c>
      <c r="E21" s="28">
        <f t="shared" si="2"/>
        <v>0</v>
      </c>
      <c r="F21" s="27"/>
      <c r="G21" s="29">
        <f t="shared" si="3"/>
        <v>0</v>
      </c>
      <c r="H21" s="29">
        <f t="shared" si="4"/>
        <v>0</v>
      </c>
      <c r="I21" s="29">
        <f t="shared" si="5"/>
        <v>0</v>
      </c>
      <c r="IT21"/>
      <c r="IU21"/>
      <c r="IV21"/>
    </row>
    <row r="22" spans="1:256" s="23" customFormat="1" ht="13.5" customHeight="1">
      <c r="A22" s="30">
        <v>622600</v>
      </c>
      <c r="B22" s="23" t="s">
        <v>121</v>
      </c>
      <c r="C22" s="28">
        <f t="shared" si="0"/>
        <v>4514</v>
      </c>
      <c r="D22" s="28">
        <f t="shared" si="1"/>
        <v>0</v>
      </c>
      <c r="E22" s="28">
        <f t="shared" si="2"/>
        <v>4514</v>
      </c>
      <c r="F22" s="27"/>
      <c r="G22" s="29">
        <f t="shared" si="3"/>
        <v>4252</v>
      </c>
      <c r="H22" s="29">
        <f t="shared" si="4"/>
        <v>0</v>
      </c>
      <c r="I22" s="29">
        <f t="shared" si="5"/>
        <v>4252</v>
      </c>
      <c r="IT22"/>
      <c r="IU22"/>
      <c r="IV22"/>
    </row>
    <row r="23" spans="1:256" s="23" customFormat="1" ht="13.5" customHeight="1">
      <c r="A23" s="30">
        <v>625000</v>
      </c>
      <c r="B23" s="23" t="s">
        <v>122</v>
      </c>
      <c r="C23" s="28">
        <f t="shared" si="0"/>
        <v>7603.570000000001</v>
      </c>
      <c r="D23" s="28">
        <f t="shared" si="1"/>
        <v>0</v>
      </c>
      <c r="E23" s="28">
        <f t="shared" si="2"/>
        <v>7603.570000000001</v>
      </c>
      <c r="F23" s="27"/>
      <c r="G23" s="29">
        <f t="shared" si="3"/>
        <v>3122.3500000000004</v>
      </c>
      <c r="H23" s="29">
        <f t="shared" si="4"/>
        <v>0</v>
      </c>
      <c r="I23" s="29">
        <f t="shared" si="5"/>
        <v>3122.3500000000004</v>
      </c>
      <c r="IT23"/>
      <c r="IU23"/>
      <c r="IV23"/>
    </row>
    <row r="24" spans="1:256" s="23" customFormat="1" ht="13.5" customHeight="1">
      <c r="A24" s="30">
        <v>626000</v>
      </c>
      <c r="B24" s="23" t="s">
        <v>123</v>
      </c>
      <c r="C24" s="28">
        <f t="shared" si="0"/>
        <v>988.5999999999999</v>
      </c>
      <c r="D24" s="28">
        <f t="shared" si="1"/>
        <v>0</v>
      </c>
      <c r="E24" s="28">
        <f t="shared" si="2"/>
        <v>988.5999999999999</v>
      </c>
      <c r="F24" s="27"/>
      <c r="G24" s="29">
        <f t="shared" si="3"/>
        <v>1056.33</v>
      </c>
      <c r="H24" s="29">
        <f t="shared" si="4"/>
        <v>0</v>
      </c>
      <c r="I24" s="29">
        <f t="shared" si="5"/>
        <v>1056.33</v>
      </c>
      <c r="IT24"/>
      <c r="IU24"/>
      <c r="IV24"/>
    </row>
    <row r="25" spans="1:256" s="23" customFormat="1" ht="13.5" customHeight="1">
      <c r="A25" s="30">
        <v>626500</v>
      </c>
      <c r="B25" s="23" t="s">
        <v>124</v>
      </c>
      <c r="C25" s="28">
        <f t="shared" si="0"/>
        <v>771.1999999999999</v>
      </c>
      <c r="D25" s="28">
        <f t="shared" si="1"/>
        <v>0</v>
      </c>
      <c r="E25" s="28">
        <f t="shared" si="2"/>
        <v>771.1999999999999</v>
      </c>
      <c r="F25" s="27"/>
      <c r="G25" s="29">
        <f t="shared" si="3"/>
        <v>1241.1200000000001</v>
      </c>
      <c r="H25" s="29">
        <f t="shared" si="4"/>
        <v>0</v>
      </c>
      <c r="I25" s="29">
        <f t="shared" si="5"/>
        <v>1241.1200000000001</v>
      </c>
      <c r="IT25"/>
      <c r="IU25"/>
      <c r="IV25"/>
    </row>
    <row r="26" spans="1:256" s="23" customFormat="1" ht="13.5" customHeight="1">
      <c r="A26" s="30">
        <v>627000</v>
      </c>
      <c r="B26" s="23" t="s">
        <v>125</v>
      </c>
      <c r="C26" s="28">
        <f t="shared" si="0"/>
        <v>0</v>
      </c>
      <c r="D26" s="28">
        <f t="shared" si="1"/>
        <v>0</v>
      </c>
      <c r="E26" s="28">
        <f t="shared" si="2"/>
        <v>0</v>
      </c>
      <c r="F26" s="27"/>
      <c r="G26" s="29">
        <f t="shared" si="3"/>
        <v>0</v>
      </c>
      <c r="H26" s="29">
        <f t="shared" si="4"/>
        <v>0</v>
      </c>
      <c r="I26" s="29">
        <f t="shared" si="5"/>
        <v>0</v>
      </c>
      <c r="IT26"/>
      <c r="IU26"/>
      <c r="IV26"/>
    </row>
    <row r="27" spans="1:256" s="23" customFormat="1" ht="13.5" customHeight="1">
      <c r="A27" s="30">
        <v>630000</v>
      </c>
      <c r="B27" s="23" t="s">
        <v>126</v>
      </c>
      <c r="C27" s="28">
        <f t="shared" si="0"/>
        <v>3576</v>
      </c>
      <c r="D27" s="28">
        <f t="shared" si="1"/>
        <v>2635.5</v>
      </c>
      <c r="E27" s="28">
        <f t="shared" si="2"/>
        <v>940.5</v>
      </c>
      <c r="F27" s="27"/>
      <c r="G27" s="29">
        <f t="shared" si="3"/>
        <v>2951</v>
      </c>
      <c r="H27" s="29">
        <f t="shared" si="4"/>
        <v>2100</v>
      </c>
      <c r="I27" s="29">
        <f t="shared" si="5"/>
        <v>851</v>
      </c>
      <c r="IT27"/>
      <c r="IU27"/>
      <c r="IV27"/>
    </row>
    <row r="28" spans="1:256" s="23" customFormat="1" ht="13.5" customHeight="1">
      <c r="A28" s="30">
        <v>641000</v>
      </c>
      <c r="B28" s="23" t="s">
        <v>127</v>
      </c>
      <c r="C28" s="28">
        <f t="shared" si="0"/>
        <v>2049.84</v>
      </c>
      <c r="D28" s="28">
        <f t="shared" si="1"/>
        <v>0</v>
      </c>
      <c r="E28" s="28">
        <f t="shared" si="2"/>
        <v>2049.84</v>
      </c>
      <c r="F28" s="27"/>
      <c r="G28" s="29">
        <f t="shared" si="3"/>
        <v>8014.079999999999</v>
      </c>
      <c r="H28" s="29">
        <f t="shared" si="4"/>
        <v>0</v>
      </c>
      <c r="I28" s="29">
        <f t="shared" si="5"/>
        <v>8014.079999999999</v>
      </c>
      <c r="IT28"/>
      <c r="IU28"/>
      <c r="IV28"/>
    </row>
    <row r="29" spans="1:256" s="23" customFormat="1" ht="13.5" customHeight="1">
      <c r="A29" s="30">
        <v>645000</v>
      </c>
      <c r="B29" s="23" t="s">
        <v>128</v>
      </c>
      <c r="C29" s="28">
        <f t="shared" si="0"/>
        <v>1077</v>
      </c>
      <c r="D29" s="28">
        <f t="shared" si="1"/>
        <v>0</v>
      </c>
      <c r="E29" s="28">
        <f t="shared" si="2"/>
        <v>1077</v>
      </c>
      <c r="F29" s="27"/>
      <c r="G29" s="29">
        <f t="shared" si="3"/>
        <v>5812</v>
      </c>
      <c r="H29" s="29">
        <f t="shared" si="4"/>
        <v>0</v>
      </c>
      <c r="I29" s="29">
        <f t="shared" si="5"/>
        <v>5812</v>
      </c>
      <c r="IT29"/>
      <c r="IU29"/>
      <c r="IV29"/>
    </row>
    <row r="30" spans="1:256" s="23" customFormat="1" ht="13.5" customHeight="1">
      <c r="A30" s="30">
        <v>670000</v>
      </c>
      <c r="B30" s="23" t="s">
        <v>129</v>
      </c>
      <c r="C30" s="28">
        <f t="shared" si="0"/>
        <v>0</v>
      </c>
      <c r="D30" s="28">
        <f t="shared" si="1"/>
        <v>0</v>
      </c>
      <c r="E30" s="28">
        <f t="shared" si="2"/>
        <v>0</v>
      </c>
      <c r="F30" s="27"/>
      <c r="G30" s="29">
        <f t="shared" si="3"/>
        <v>0</v>
      </c>
      <c r="H30" s="29">
        <f t="shared" si="4"/>
        <v>0</v>
      </c>
      <c r="I30" s="29">
        <f t="shared" si="5"/>
        <v>0</v>
      </c>
      <c r="IT30"/>
      <c r="IU30"/>
      <c r="IV30"/>
    </row>
    <row r="31" spans="1:256" s="23" customFormat="1" ht="13.5" customHeight="1">
      <c r="A31" s="30">
        <v>680000</v>
      </c>
      <c r="B31" s="23" t="s">
        <v>130</v>
      </c>
      <c r="C31" s="28">
        <f t="shared" si="0"/>
        <v>0</v>
      </c>
      <c r="D31" s="28">
        <f t="shared" si="1"/>
        <v>0</v>
      </c>
      <c r="E31" s="28">
        <f t="shared" si="2"/>
        <v>0</v>
      </c>
      <c r="F31" s="27"/>
      <c r="G31" s="29">
        <f t="shared" si="3"/>
        <v>0</v>
      </c>
      <c r="H31" s="29">
        <f t="shared" si="4"/>
        <v>0</v>
      </c>
      <c r="I31" s="29">
        <f t="shared" si="5"/>
        <v>0</v>
      </c>
      <c r="IT31"/>
      <c r="IU31"/>
      <c r="IV31"/>
    </row>
    <row r="32" spans="1:256" s="23" customFormat="1" ht="13.5" customHeight="1">
      <c r="A32" s="26">
        <v>706100</v>
      </c>
      <c r="B32" s="27" t="s">
        <v>131</v>
      </c>
      <c r="C32" s="28">
        <f t="shared" si="0"/>
        <v>0</v>
      </c>
      <c r="D32" s="28">
        <f t="shared" si="1"/>
        <v>3586</v>
      </c>
      <c r="E32" s="28">
        <f t="shared" si="2"/>
        <v>-3586</v>
      </c>
      <c r="F32" s="27"/>
      <c r="G32" s="29">
        <f t="shared" si="3"/>
        <v>0</v>
      </c>
      <c r="H32" s="29">
        <f t="shared" si="4"/>
        <v>3959.5</v>
      </c>
      <c r="I32" s="29">
        <f t="shared" si="5"/>
        <v>-3959.5</v>
      </c>
      <c r="IT32"/>
      <c r="IU32"/>
      <c r="IV32"/>
    </row>
    <row r="33" spans="1:256" s="23" customFormat="1" ht="13.5" customHeight="1">
      <c r="A33" s="30">
        <v>706210</v>
      </c>
      <c r="B33" s="23" t="s">
        <v>132</v>
      </c>
      <c r="C33" s="28">
        <f t="shared" si="0"/>
        <v>0</v>
      </c>
      <c r="D33" s="28">
        <f t="shared" si="1"/>
        <v>10648</v>
      </c>
      <c r="E33" s="28">
        <f t="shared" si="2"/>
        <v>-10648</v>
      </c>
      <c r="F33" s="27"/>
      <c r="G33" s="29">
        <f t="shared" si="3"/>
        <v>0</v>
      </c>
      <c r="H33" s="29">
        <f t="shared" si="4"/>
        <v>9684</v>
      </c>
      <c r="I33" s="29">
        <f t="shared" si="5"/>
        <v>-9684</v>
      </c>
      <c r="IT33"/>
      <c r="IU33"/>
      <c r="IV33"/>
    </row>
    <row r="34" spans="1:256" s="23" customFormat="1" ht="13.5" customHeight="1">
      <c r="A34" s="30">
        <v>706220</v>
      </c>
      <c r="B34" s="23" t="s">
        <v>133</v>
      </c>
      <c r="C34" s="28">
        <f t="shared" si="0"/>
        <v>0</v>
      </c>
      <c r="D34" s="28">
        <f t="shared" si="1"/>
        <v>8846</v>
      </c>
      <c r="E34" s="28">
        <f t="shared" si="2"/>
        <v>-8846</v>
      </c>
      <c r="F34" s="27"/>
      <c r="G34" s="29">
        <f t="shared" si="3"/>
        <v>0</v>
      </c>
      <c r="H34" s="29">
        <f t="shared" si="4"/>
        <v>7299</v>
      </c>
      <c r="I34" s="29">
        <f t="shared" si="5"/>
        <v>-7299</v>
      </c>
      <c r="IT34"/>
      <c r="IU34"/>
      <c r="IV34"/>
    </row>
    <row r="35" spans="1:256" s="23" customFormat="1" ht="13.5" customHeight="1">
      <c r="A35" s="30">
        <v>706230</v>
      </c>
      <c r="B35" s="23" t="s">
        <v>134</v>
      </c>
      <c r="C35" s="28">
        <f t="shared" si="0"/>
        <v>0</v>
      </c>
      <c r="D35" s="28">
        <f t="shared" si="1"/>
        <v>21807.9</v>
      </c>
      <c r="E35" s="28">
        <f t="shared" si="2"/>
        <v>-21807.9</v>
      </c>
      <c r="F35" s="27"/>
      <c r="G35" s="29">
        <f t="shared" si="3"/>
        <v>0</v>
      </c>
      <c r="H35" s="29">
        <f t="shared" si="4"/>
        <v>22482</v>
      </c>
      <c r="I35" s="29">
        <f t="shared" si="5"/>
        <v>-22482</v>
      </c>
      <c r="IT35"/>
      <c r="IU35"/>
      <c r="IV35"/>
    </row>
    <row r="36" spans="1:256" s="23" customFormat="1" ht="13.5" customHeight="1">
      <c r="A36" s="30">
        <v>706320</v>
      </c>
      <c r="B36" s="23" t="s">
        <v>135</v>
      </c>
      <c r="C36" s="28">
        <f t="shared" si="0"/>
        <v>0</v>
      </c>
      <c r="D36" s="28">
        <f t="shared" si="1"/>
        <v>1524.62</v>
      </c>
      <c r="E36" s="28">
        <f t="shared" si="2"/>
        <v>-1524.62</v>
      </c>
      <c r="F36" s="27"/>
      <c r="G36" s="29">
        <f t="shared" si="3"/>
        <v>0</v>
      </c>
      <c r="H36" s="29">
        <f t="shared" si="4"/>
        <v>3447.6800000000003</v>
      </c>
      <c r="I36" s="29">
        <f t="shared" si="5"/>
        <v>-3447.6800000000003</v>
      </c>
      <c r="IT36"/>
      <c r="IU36"/>
      <c r="IV36"/>
    </row>
    <row r="37" spans="1:256" s="23" customFormat="1" ht="13.5" customHeight="1">
      <c r="A37" s="30">
        <v>706420</v>
      </c>
      <c r="B37" s="23" t="s">
        <v>136</v>
      </c>
      <c r="C37" s="28">
        <f t="shared" si="0"/>
        <v>0</v>
      </c>
      <c r="D37" s="28">
        <f t="shared" si="1"/>
        <v>6325.73</v>
      </c>
      <c r="E37" s="28">
        <f t="shared" si="2"/>
        <v>-6325.73</v>
      </c>
      <c r="F37" s="27"/>
      <c r="G37" s="29">
        <f t="shared" si="3"/>
        <v>0</v>
      </c>
      <c r="H37" s="29">
        <f t="shared" si="4"/>
        <v>3811.4100000000003</v>
      </c>
      <c r="I37" s="29">
        <f t="shared" si="5"/>
        <v>-3811.4100000000003</v>
      </c>
      <c r="IT37"/>
      <c r="IU37"/>
      <c r="IV37"/>
    </row>
    <row r="38" spans="1:256" s="23" customFormat="1" ht="13.5" customHeight="1">
      <c r="A38" s="30">
        <v>708000</v>
      </c>
      <c r="B38" s="23" t="s">
        <v>137</v>
      </c>
      <c r="C38" s="28">
        <f t="shared" si="0"/>
        <v>0</v>
      </c>
      <c r="D38" s="28">
        <f t="shared" si="1"/>
        <v>1054</v>
      </c>
      <c r="E38" s="28">
        <f t="shared" si="2"/>
        <v>-1054</v>
      </c>
      <c r="F38" s="27"/>
      <c r="G38" s="29">
        <f t="shared" si="3"/>
        <v>0</v>
      </c>
      <c r="H38" s="29">
        <f t="shared" si="4"/>
        <v>1097</v>
      </c>
      <c r="I38" s="29">
        <f t="shared" si="5"/>
        <v>-1097</v>
      </c>
      <c r="IT38"/>
      <c r="IU38"/>
      <c r="IV38"/>
    </row>
    <row r="39" spans="1:256" s="23" customFormat="1" ht="13.5" customHeight="1">
      <c r="A39" s="30">
        <v>754000</v>
      </c>
      <c r="B39" s="23" t="s">
        <v>138</v>
      </c>
      <c r="C39" s="28">
        <f t="shared" si="0"/>
        <v>0</v>
      </c>
      <c r="D39" s="28">
        <f t="shared" si="1"/>
        <v>8684.859999999999</v>
      </c>
      <c r="E39" s="28">
        <f t="shared" si="2"/>
        <v>-8684.859999999999</v>
      </c>
      <c r="F39" s="27"/>
      <c r="G39" s="29">
        <f t="shared" si="3"/>
        <v>0</v>
      </c>
      <c r="H39" s="29">
        <f t="shared" si="4"/>
        <v>10549.419999999998</v>
      </c>
      <c r="I39" s="29">
        <f t="shared" si="5"/>
        <v>-10549.419999999998</v>
      </c>
      <c r="IT39"/>
      <c r="IU39"/>
      <c r="IV39"/>
    </row>
    <row r="40" spans="1:256" s="23" customFormat="1" ht="13.5" customHeight="1">
      <c r="A40" s="30">
        <v>756000</v>
      </c>
      <c r="B40" s="23" t="s">
        <v>139</v>
      </c>
      <c r="C40" s="28">
        <f t="shared" si="0"/>
        <v>0</v>
      </c>
      <c r="D40" s="28">
        <f t="shared" si="1"/>
        <v>5065</v>
      </c>
      <c r="E40" s="28">
        <f t="shared" si="2"/>
        <v>-5065</v>
      </c>
      <c r="F40" s="27"/>
      <c r="G40" s="29">
        <f t="shared" si="3"/>
        <v>0</v>
      </c>
      <c r="H40" s="29">
        <f t="shared" si="4"/>
        <v>5558</v>
      </c>
      <c r="I40" s="29">
        <f t="shared" si="5"/>
        <v>-5558</v>
      </c>
      <c r="IT40"/>
      <c r="IU40"/>
      <c r="IV40"/>
    </row>
    <row r="41" spans="1:256" s="23" customFormat="1" ht="13.5" customHeight="1">
      <c r="A41" s="30">
        <v>758000</v>
      </c>
      <c r="B41" s="23" t="s">
        <v>140</v>
      </c>
      <c r="C41" s="28">
        <f t="shared" si="0"/>
        <v>0</v>
      </c>
      <c r="D41" s="28">
        <f t="shared" si="1"/>
        <v>2596.0299999999997</v>
      </c>
      <c r="E41" s="28">
        <f t="shared" si="2"/>
        <v>-2596.0299999999997</v>
      </c>
      <c r="F41" s="27"/>
      <c r="G41" s="29">
        <f t="shared" si="3"/>
        <v>0</v>
      </c>
      <c r="H41" s="29">
        <f t="shared" si="4"/>
        <v>41</v>
      </c>
      <c r="I41" s="29">
        <f t="shared" si="5"/>
        <v>-41</v>
      </c>
      <c r="IT41"/>
      <c r="IU41"/>
      <c r="IV41"/>
    </row>
    <row r="42" spans="1:256" s="23" customFormat="1" ht="13.5" customHeight="1">
      <c r="A42" s="30">
        <v>761000</v>
      </c>
      <c r="B42" s="23" t="s">
        <v>141</v>
      </c>
      <c r="C42" s="28">
        <f t="shared" si="0"/>
        <v>0</v>
      </c>
      <c r="D42" s="28">
        <f t="shared" si="1"/>
        <v>126.32</v>
      </c>
      <c r="E42" s="28">
        <f t="shared" si="2"/>
        <v>-126.32</v>
      </c>
      <c r="F42" s="27"/>
      <c r="G42" s="29">
        <f t="shared" si="3"/>
        <v>0</v>
      </c>
      <c r="H42" s="29">
        <f t="shared" si="4"/>
        <v>152.38</v>
      </c>
      <c r="I42" s="29">
        <f t="shared" si="5"/>
        <v>-152.38</v>
      </c>
      <c r="IT42"/>
      <c r="IU42"/>
      <c r="IV42"/>
    </row>
    <row r="43" spans="1:256" s="23" customFormat="1" ht="13.5" customHeight="1">
      <c r="A43" s="30" t="s">
        <v>142</v>
      </c>
      <c r="B43" s="23" t="s">
        <v>143</v>
      </c>
      <c r="C43" s="28">
        <f t="shared" si="0"/>
        <v>0</v>
      </c>
      <c r="D43" s="28">
        <f t="shared" si="1"/>
        <v>0</v>
      </c>
      <c r="E43" s="28">
        <f t="shared" si="2"/>
        <v>0</v>
      </c>
      <c r="F43" s="27"/>
      <c r="G43" s="29">
        <f t="shared" si="3"/>
        <v>0</v>
      </c>
      <c r="H43" s="29">
        <f t="shared" si="4"/>
        <v>0</v>
      </c>
      <c r="I43" s="29">
        <f t="shared" si="5"/>
        <v>0</v>
      </c>
      <c r="IT43"/>
      <c r="IU43"/>
      <c r="IV43"/>
    </row>
    <row r="44" spans="1:256" s="23" customFormat="1" ht="13.5" customHeight="1">
      <c r="A44" s="30" t="s">
        <v>144</v>
      </c>
      <c r="B44" s="23" t="s">
        <v>145</v>
      </c>
      <c r="C44" s="28">
        <f t="shared" si="0"/>
        <v>79478.49999999997</v>
      </c>
      <c r="D44" s="28">
        <f t="shared" si="1"/>
        <v>79478.5</v>
      </c>
      <c r="E44" s="28">
        <f t="shared" si="2"/>
        <v>0</v>
      </c>
      <c r="F44" s="27"/>
      <c r="G44" s="29">
        <f t="shared" si="3"/>
        <v>78545.75</v>
      </c>
      <c r="H44" s="29">
        <f t="shared" si="4"/>
        <v>78545.75</v>
      </c>
      <c r="I44" s="29">
        <f t="shared" si="5"/>
        <v>0</v>
      </c>
      <c r="IT44"/>
      <c r="IU44"/>
      <c r="IV44"/>
    </row>
    <row r="45" spans="1:256" s="23" customFormat="1" ht="13.5" customHeight="1">
      <c r="A45" s="31"/>
      <c r="G45" s="32"/>
      <c r="H45" s="32"/>
      <c r="I45" s="32"/>
      <c r="IT45"/>
      <c r="IU45"/>
      <c r="IV45"/>
    </row>
    <row r="46" spans="1:256" s="23" customFormat="1" ht="13.5" customHeight="1">
      <c r="A46" s="31" t="s">
        <v>146</v>
      </c>
      <c r="E46" s="33">
        <v>39187</v>
      </c>
      <c r="G46" s="32"/>
      <c r="H46" s="32"/>
      <c r="I46" s="32">
        <f>DATE(YEAR($E46)-1,MONTH($E46),DAY($E46))</f>
        <v>38822</v>
      </c>
      <c r="IT46"/>
      <c r="IU46"/>
      <c r="IV46"/>
    </row>
    <row r="47" spans="1:256" s="23" customFormat="1" ht="13.5" customHeight="1">
      <c r="A47" s="31"/>
      <c r="G47" s="32"/>
      <c r="H47" s="32"/>
      <c r="I47" s="32"/>
      <c r="IT47"/>
      <c r="IU47"/>
      <c r="IV47"/>
    </row>
    <row r="48" spans="4:256" s="26" customFormat="1" ht="13.5" customHeight="1">
      <c r="D48" s="26" t="s">
        <v>147</v>
      </c>
      <c r="G48" s="34"/>
      <c r="H48" s="34" t="s">
        <v>148</v>
      </c>
      <c r="I48" s="34"/>
      <c r="IT48"/>
      <c r="IU48"/>
      <c r="IV48"/>
    </row>
  </sheetData>
  <sheetProtection selectLockedCells="1" selectUnlockedCells="1"/>
  <printOptions horizontalCentered="1"/>
  <pageMargins left="0.39375" right="0.39375" top="0.5208333333333333" bottom="0.39375" header="0.39375" footer="0.5118055555555555"/>
  <pageSetup horizontalDpi="300" verticalDpi="300" orientation="portrait" paperSize="9"/>
  <headerFooter alignWithMargins="0">
    <oddHeader>&amp;LEdition du &amp;D&amp;C&amp;"Arial,Gras"Liste des comptes&amp;R&amp;"Arial,Gras"&amp;F</oddHeader>
  </headerFooter>
</worksheet>
</file>

<file path=xl/worksheets/sheet3.xml><?xml version="1.0" encoding="utf-8"?>
<worksheet xmlns="http://schemas.openxmlformats.org/spreadsheetml/2006/main" xmlns:r="http://schemas.openxmlformats.org/officeDocument/2006/relationships">
  <dimension ref="A1:IV636"/>
  <sheetViews>
    <sheetView workbookViewId="0" topLeftCell="A1">
      <pane ySplit="810" topLeftCell="A1" activePane="bottomLeft" state="split"/>
      <selection pane="topLeft" activeCell="A1" sqref="A1"/>
      <selection pane="bottomLeft" activeCell="B8" sqref="B8"/>
    </sheetView>
  </sheetViews>
  <sheetFormatPr defaultColWidth="8" defaultRowHeight="11.25"/>
  <cols>
    <col min="1" max="1" width="7.16015625" style="35" customWidth="1"/>
    <col min="2" max="3" width="13.16015625" style="36" customWidth="1"/>
    <col min="4" max="4" width="31.16015625" style="0" customWidth="1"/>
    <col min="5" max="5" width="14.16015625" style="36" customWidth="1"/>
    <col min="6" max="6" width="24.66015625" style="0" customWidth="1"/>
    <col min="7" max="7" width="13.66015625" style="36" customWidth="1"/>
    <col min="8" max="8" width="10.33203125" style="36" customWidth="1"/>
    <col min="9" max="9" width="11.66015625" style="37" customWidth="1"/>
    <col min="10" max="10" width="24" style="0" customWidth="1"/>
    <col min="11" max="11" width="10.16015625" style="0" customWidth="1"/>
    <col min="12" max="12" width="11.16015625" style="0" customWidth="1"/>
    <col min="13" max="13" width="10.66015625" style="0" customWidth="1"/>
    <col min="14" max="16384" width="6.83203125" style="0" customWidth="1"/>
  </cols>
  <sheetData>
    <row r="1" spans="1:12" ht="13.5" customHeight="1">
      <c r="A1" s="38" t="s">
        <v>149</v>
      </c>
      <c r="B1" s="39" t="s">
        <v>150</v>
      </c>
      <c r="C1" s="40" t="s">
        <v>151</v>
      </c>
      <c r="D1" s="41" t="s">
        <v>152</v>
      </c>
      <c r="E1" s="40" t="s">
        <v>153</v>
      </c>
      <c r="F1" s="41" t="s">
        <v>154</v>
      </c>
      <c r="G1" s="42" t="s">
        <v>155</v>
      </c>
      <c r="H1" s="42" t="s">
        <v>93</v>
      </c>
      <c r="I1" s="43" t="s">
        <v>156</v>
      </c>
      <c r="J1" s="44" t="s">
        <v>91</v>
      </c>
      <c r="K1" s="45" t="s">
        <v>157</v>
      </c>
      <c r="L1" s="46">
        <v>511200</v>
      </c>
    </row>
    <row r="2" spans="1:12" ht="13.5" customHeight="1">
      <c r="A2" s="47"/>
      <c r="B2" s="48">
        <v>38991</v>
      </c>
      <c r="C2" s="49" t="s">
        <v>144</v>
      </c>
      <c r="D2" s="50">
        <f>VLOOKUP(C2,Comptes!$A$2:$B$44,2,FALSE)</f>
        <v>0</v>
      </c>
      <c r="E2" s="51">
        <v>110000</v>
      </c>
      <c r="F2" s="50">
        <f>VLOOKUP(E2,Comptes!$A$2:$B$44,2,FALSE)</f>
        <v>0</v>
      </c>
      <c r="G2" s="49"/>
      <c r="H2" s="49"/>
      <c r="I2" s="52">
        <v>10703.92</v>
      </c>
      <c r="J2" s="53" t="s">
        <v>158</v>
      </c>
      <c r="K2" s="54">
        <f aca="true" t="shared" si="0" ref="K2:K298">IF(OR(C2=530000,E2=530000),1,0)</f>
        <v>0</v>
      </c>
      <c r="L2" s="54">
        <f aca="true" t="shared" si="1" ref="L2:L298">IF(OR(C2=511200,E2=511200),1,0)</f>
        <v>0</v>
      </c>
    </row>
    <row r="3" spans="1:12" ht="13.5" customHeight="1">
      <c r="A3" s="47"/>
      <c r="B3" s="48">
        <v>38991</v>
      </c>
      <c r="C3" s="49" t="s">
        <v>144</v>
      </c>
      <c r="D3" s="50">
        <f>VLOOKUP(C3,Comptes!$A$2:$B$44,2,FALSE)</f>
        <v>0</v>
      </c>
      <c r="E3" s="51">
        <v>110000</v>
      </c>
      <c r="F3" s="50">
        <f>VLOOKUP(E3,Comptes!$A$2:$B$44,2,FALSE)</f>
        <v>0</v>
      </c>
      <c r="G3" s="49"/>
      <c r="H3" s="49"/>
      <c r="I3" s="52">
        <v>3079.59999999996</v>
      </c>
      <c r="J3" s="53" t="s">
        <v>159</v>
      </c>
      <c r="K3" s="54">
        <f t="shared" si="0"/>
        <v>0</v>
      </c>
      <c r="L3" s="54">
        <f t="shared" si="1"/>
        <v>0</v>
      </c>
    </row>
    <row r="4" spans="1:12" ht="13.5" customHeight="1">
      <c r="A4" s="47"/>
      <c r="B4" s="48">
        <v>38991</v>
      </c>
      <c r="C4" s="51">
        <v>210000</v>
      </c>
      <c r="D4" s="50">
        <f>VLOOKUP(C4,Comptes!$A$2:$B$44,2,FALSE)</f>
        <v>0</v>
      </c>
      <c r="E4" s="49" t="s">
        <v>144</v>
      </c>
      <c r="F4" s="50">
        <f>VLOOKUP(E4,Comptes!$A$2:$B$44,2,FALSE)</f>
        <v>0</v>
      </c>
      <c r="G4" s="49"/>
      <c r="H4" s="49"/>
      <c r="I4" s="52">
        <v>14422.66</v>
      </c>
      <c r="J4" s="53"/>
      <c r="K4" s="54">
        <f t="shared" si="0"/>
        <v>0</v>
      </c>
      <c r="L4" s="54">
        <f t="shared" si="1"/>
        <v>0</v>
      </c>
    </row>
    <row r="5" spans="1:12" ht="13.5" customHeight="1">
      <c r="A5" s="47"/>
      <c r="B5" s="48">
        <v>38991</v>
      </c>
      <c r="C5" s="51">
        <v>210000</v>
      </c>
      <c r="D5" s="50">
        <f>VLOOKUP(C5,Comptes!$A$2:$B$44,2,FALSE)</f>
        <v>0</v>
      </c>
      <c r="E5" s="49" t="s">
        <v>144</v>
      </c>
      <c r="F5" s="50">
        <f>VLOOKUP(E5,Comptes!$A$2:$B$44,2,FALSE)</f>
        <v>0</v>
      </c>
      <c r="G5" s="49"/>
      <c r="H5" s="49"/>
      <c r="I5" s="52">
        <v>50593.22</v>
      </c>
      <c r="J5" s="53"/>
      <c r="K5" s="54">
        <f t="shared" si="0"/>
        <v>0</v>
      </c>
      <c r="L5" s="54">
        <f t="shared" si="1"/>
        <v>0</v>
      </c>
    </row>
    <row r="6" spans="1:12" ht="13.5" customHeight="1">
      <c r="A6" s="47"/>
      <c r="B6" s="48">
        <v>38991</v>
      </c>
      <c r="C6" s="51">
        <v>210000</v>
      </c>
      <c r="D6" s="50">
        <f>VLOOKUP(C6,Comptes!$A$2:$B$44,2,FALSE)</f>
        <v>0</v>
      </c>
      <c r="E6" s="49" t="s">
        <v>144</v>
      </c>
      <c r="F6" s="50">
        <f>VLOOKUP(E6,Comptes!$A$2:$B$44,2,FALSE)</f>
        <v>0</v>
      </c>
      <c r="G6" s="49"/>
      <c r="H6" s="49"/>
      <c r="I6" s="52">
        <v>2135.78</v>
      </c>
      <c r="J6" s="53"/>
      <c r="K6" s="54">
        <f t="shared" si="0"/>
        <v>0</v>
      </c>
      <c r="L6" s="54">
        <f t="shared" si="1"/>
        <v>0</v>
      </c>
    </row>
    <row r="7" spans="1:12" ht="13.5" customHeight="1">
      <c r="A7" s="47"/>
      <c r="B7" s="48">
        <v>38991</v>
      </c>
      <c r="C7" s="49" t="s">
        <v>144</v>
      </c>
      <c r="D7" s="50">
        <f>VLOOKUP(C7,Comptes!$A$2:$B$44,2,FALSE)</f>
        <v>0</v>
      </c>
      <c r="E7" s="51">
        <v>281000</v>
      </c>
      <c r="F7" s="50">
        <f>VLOOKUP(E7,Comptes!$A$2:$B$44,2,FALSE)</f>
        <v>0</v>
      </c>
      <c r="G7" s="49"/>
      <c r="H7" s="49"/>
      <c r="I7" s="52">
        <v>62774.48</v>
      </c>
      <c r="J7" s="53" t="s">
        <v>160</v>
      </c>
      <c r="K7" s="54">
        <f t="shared" si="0"/>
        <v>0</v>
      </c>
      <c r="L7" s="54">
        <f t="shared" si="1"/>
        <v>0</v>
      </c>
    </row>
    <row r="8" spans="1:12" ht="13.5" customHeight="1">
      <c r="A8" s="47"/>
      <c r="B8" s="48">
        <v>39355</v>
      </c>
      <c r="C8" s="51">
        <v>680000</v>
      </c>
      <c r="D8" s="50">
        <f>VLOOKUP(C8,Comptes!$A$2:$B$44,2,FALSE)</f>
        <v>0</v>
      </c>
      <c r="E8" s="51">
        <v>281000</v>
      </c>
      <c r="F8" s="50">
        <f>VLOOKUP(E8,Comptes!$A$2:$B$44,2,FALSE)</f>
        <v>0</v>
      </c>
      <c r="G8" s="49"/>
      <c r="H8" s="49"/>
      <c r="I8" s="52">
        <v>0</v>
      </c>
      <c r="J8" s="53" t="s">
        <v>161</v>
      </c>
      <c r="K8" s="54">
        <f t="shared" si="0"/>
        <v>0</v>
      </c>
      <c r="L8" s="54">
        <f t="shared" si="1"/>
        <v>0</v>
      </c>
    </row>
    <row r="9" spans="1:12" ht="13.5" customHeight="1">
      <c r="A9" s="47"/>
      <c r="B9" s="48">
        <v>39355</v>
      </c>
      <c r="C9" s="51">
        <v>680000</v>
      </c>
      <c r="D9" s="50">
        <f>VLOOKUP(C9,Comptes!$A$2:$B$44,2,FALSE)</f>
        <v>0</v>
      </c>
      <c r="E9" s="51">
        <v>281000</v>
      </c>
      <c r="F9" s="50">
        <f>VLOOKUP(E9,Comptes!$A$2:$B$44,2,FALSE)</f>
        <v>0</v>
      </c>
      <c r="G9" s="49"/>
      <c r="H9" s="49"/>
      <c r="I9" s="52">
        <v>2188.6</v>
      </c>
      <c r="J9" s="53"/>
      <c r="K9" s="54">
        <f t="shared" si="0"/>
        <v>0</v>
      </c>
      <c r="L9" s="54">
        <f t="shared" si="1"/>
        <v>0</v>
      </c>
    </row>
    <row r="10" spans="1:12" ht="13.5" customHeight="1">
      <c r="A10" s="47"/>
      <c r="B10" s="48">
        <v>39355</v>
      </c>
      <c r="C10" s="51">
        <v>680000</v>
      </c>
      <c r="D10" s="50">
        <f>VLOOKUP(C10,Comptes!$A$2:$B$44,2,FALSE)</f>
        <v>0</v>
      </c>
      <c r="E10" s="51">
        <v>281000</v>
      </c>
      <c r="F10" s="50">
        <f>VLOOKUP(E10,Comptes!$A$2:$B$44,2,FALSE)</f>
        <v>0</v>
      </c>
      <c r="G10" s="49"/>
      <c r="H10" s="49"/>
      <c r="I10" s="52">
        <v>255.33</v>
      </c>
      <c r="J10" s="53" t="s">
        <v>162</v>
      </c>
      <c r="K10" s="54">
        <f t="shared" si="0"/>
        <v>0</v>
      </c>
      <c r="L10" s="54">
        <f t="shared" si="1"/>
        <v>0</v>
      </c>
    </row>
    <row r="11" spans="1:12" ht="13.5" customHeight="1">
      <c r="A11" s="47"/>
      <c r="B11" s="48">
        <v>38990</v>
      </c>
      <c r="C11" s="49" t="s">
        <v>144</v>
      </c>
      <c r="D11" s="50">
        <f>VLOOKUP(C11,Comptes!$A$2:$B$44,2,FALSE)</f>
        <v>0</v>
      </c>
      <c r="E11" s="51">
        <v>468600</v>
      </c>
      <c r="F11" s="50">
        <f>VLOOKUP(E11,Comptes!$A$2:$B$44,2,FALSE)</f>
        <v>0</v>
      </c>
      <c r="G11" s="49"/>
      <c r="H11" s="49"/>
      <c r="I11" s="52">
        <v>2635.5</v>
      </c>
      <c r="J11" s="53" t="s">
        <v>163</v>
      </c>
      <c r="K11" s="54">
        <f t="shared" si="0"/>
        <v>0</v>
      </c>
      <c r="L11" s="54">
        <f t="shared" si="1"/>
        <v>0</v>
      </c>
    </row>
    <row r="12" spans="1:12" ht="13.5" customHeight="1">
      <c r="A12" s="47"/>
      <c r="B12" s="48">
        <v>38991</v>
      </c>
      <c r="C12" s="49">
        <v>468600</v>
      </c>
      <c r="D12" s="50">
        <f>VLOOKUP(C12,Comptes!$A$2:$B$44,2,FALSE)</f>
        <v>0</v>
      </c>
      <c r="E12" s="51">
        <v>630000</v>
      </c>
      <c r="F12" s="50">
        <f>VLOOKUP(E12,Comptes!$A$2:$B$44,2,FALSE)</f>
        <v>0</v>
      </c>
      <c r="G12" s="49"/>
      <c r="H12" s="49"/>
      <c r="I12" s="52">
        <v>2635.5</v>
      </c>
      <c r="J12" s="53" t="s">
        <v>163</v>
      </c>
      <c r="K12" s="54">
        <f t="shared" si="0"/>
        <v>0</v>
      </c>
      <c r="L12" s="54">
        <f t="shared" si="1"/>
        <v>0</v>
      </c>
    </row>
    <row r="13" spans="1:12" ht="13.5" customHeight="1">
      <c r="A13" s="47">
        <v>267001</v>
      </c>
      <c r="B13" s="48">
        <v>38991</v>
      </c>
      <c r="C13" s="49" t="s">
        <v>144</v>
      </c>
      <c r="D13" s="50">
        <f>VLOOKUP(C13,Comptes!$A$2:$B$44,2,FALSE)</f>
        <v>0</v>
      </c>
      <c r="E13" s="51">
        <v>468600</v>
      </c>
      <c r="F13" s="50">
        <f>VLOOKUP(E13,Comptes!$A$2:$B$44,2,FALSE)</f>
        <v>0</v>
      </c>
      <c r="G13" s="49"/>
      <c r="H13" s="49"/>
      <c r="I13" s="52">
        <v>285</v>
      </c>
      <c r="J13" s="53"/>
      <c r="K13" s="54">
        <f t="shared" si="0"/>
        <v>0</v>
      </c>
      <c r="L13" s="54">
        <f t="shared" si="1"/>
        <v>0</v>
      </c>
    </row>
    <row r="14" spans="1:12" ht="13.5" customHeight="1">
      <c r="A14" s="47">
        <v>256085</v>
      </c>
      <c r="B14" s="48">
        <v>38751</v>
      </c>
      <c r="C14" s="49">
        <v>511200</v>
      </c>
      <c r="D14" s="50">
        <f>VLOOKUP(C14,Comptes!$A$2:$B$44,2,FALSE)</f>
        <v>0</v>
      </c>
      <c r="E14" s="49" t="s">
        <v>144</v>
      </c>
      <c r="F14" s="50">
        <f>VLOOKUP(E14,Comptes!$A$2:$B$44,2,FALSE)</f>
        <v>0</v>
      </c>
      <c r="G14" s="49"/>
      <c r="H14" s="49"/>
      <c r="I14" s="52">
        <v>50</v>
      </c>
      <c r="J14" s="55"/>
      <c r="K14" s="54">
        <f t="shared" si="0"/>
        <v>0</v>
      </c>
      <c r="L14" s="54">
        <f t="shared" si="1"/>
        <v>1</v>
      </c>
    </row>
    <row r="15" spans="1:12" ht="13.5" customHeight="1">
      <c r="A15" s="47">
        <v>256131</v>
      </c>
      <c r="B15" s="48">
        <v>38809</v>
      </c>
      <c r="C15" s="49">
        <v>511200</v>
      </c>
      <c r="D15" s="50">
        <f>VLOOKUP(C15,Comptes!$A$2:$B$44,2,FALSE)</f>
        <v>0</v>
      </c>
      <c r="E15" s="49" t="s">
        <v>144</v>
      </c>
      <c r="F15" s="50">
        <f>VLOOKUP(E15,Comptes!$A$2:$B$44,2,FALSE)</f>
        <v>0</v>
      </c>
      <c r="G15" s="49"/>
      <c r="H15" s="49"/>
      <c r="I15" s="52">
        <v>12</v>
      </c>
      <c r="J15" s="55"/>
      <c r="K15" s="54">
        <f t="shared" si="0"/>
        <v>0</v>
      </c>
      <c r="L15" s="54">
        <f t="shared" si="1"/>
        <v>1</v>
      </c>
    </row>
    <row r="16" spans="1:12" ht="13.5" customHeight="1">
      <c r="A16" s="47">
        <v>256186</v>
      </c>
      <c r="B16" s="48">
        <v>38873</v>
      </c>
      <c r="C16" s="49">
        <v>511200</v>
      </c>
      <c r="D16" s="50">
        <f>VLOOKUP(C16,Comptes!$A$2:$B$44,2,FALSE)</f>
        <v>0</v>
      </c>
      <c r="E16" s="49" t="s">
        <v>144</v>
      </c>
      <c r="F16" s="50">
        <f>VLOOKUP(E16,Comptes!$A$2:$B$44,2,FALSE)</f>
        <v>0</v>
      </c>
      <c r="G16" s="49"/>
      <c r="H16" s="49"/>
      <c r="I16" s="52">
        <v>114</v>
      </c>
      <c r="J16" s="53"/>
      <c r="K16" s="54">
        <f t="shared" si="0"/>
        <v>0</v>
      </c>
      <c r="L16" s="54">
        <f t="shared" si="1"/>
        <v>1</v>
      </c>
    </row>
    <row r="17" spans="1:12" ht="13.5" customHeight="1">
      <c r="A17" s="47">
        <v>256215</v>
      </c>
      <c r="B17" s="48">
        <v>38908</v>
      </c>
      <c r="C17" s="49">
        <v>511200</v>
      </c>
      <c r="D17" s="50">
        <f>VLOOKUP(C17,Comptes!$A$2:$B$44,2,FALSE)</f>
        <v>0</v>
      </c>
      <c r="E17" s="49" t="s">
        <v>144</v>
      </c>
      <c r="F17" s="50">
        <f>VLOOKUP(E17,Comptes!$A$2:$B$44,2,FALSE)</f>
        <v>0</v>
      </c>
      <c r="G17" s="49"/>
      <c r="H17" s="49"/>
      <c r="I17" s="52">
        <v>44</v>
      </c>
      <c r="J17" s="53"/>
      <c r="K17" s="54">
        <f t="shared" si="0"/>
        <v>0</v>
      </c>
      <c r="L17" s="54">
        <f t="shared" si="1"/>
        <v>1</v>
      </c>
    </row>
    <row r="18" spans="1:12" ht="13.5" customHeight="1">
      <c r="A18" s="47">
        <v>256046</v>
      </c>
      <c r="B18" s="48">
        <v>38991</v>
      </c>
      <c r="C18" s="49">
        <v>511200</v>
      </c>
      <c r="D18" s="50">
        <f>VLOOKUP(C18,Comptes!$A$2:$B$44,2,FALSE)</f>
        <v>0</v>
      </c>
      <c r="E18" s="49" t="s">
        <v>144</v>
      </c>
      <c r="F18" s="50">
        <f>VLOOKUP(E18,Comptes!$A$2:$B$44,2,FALSE)</f>
        <v>0</v>
      </c>
      <c r="G18" s="49"/>
      <c r="H18" s="49"/>
      <c r="I18" s="52">
        <v>586</v>
      </c>
      <c r="J18" s="53"/>
      <c r="K18" s="54">
        <f t="shared" si="0"/>
        <v>0</v>
      </c>
      <c r="L18" s="54">
        <f t="shared" si="1"/>
        <v>1</v>
      </c>
    </row>
    <row r="19" spans="1:12" ht="13.5" customHeight="1">
      <c r="A19" s="47">
        <v>256220</v>
      </c>
      <c r="B19" s="48">
        <v>38910</v>
      </c>
      <c r="C19" s="49">
        <v>511200</v>
      </c>
      <c r="D19" s="50">
        <f>VLOOKUP(C19,Comptes!$A$2:$B$44,2,FALSE)</f>
        <v>0</v>
      </c>
      <c r="E19" s="49" t="s">
        <v>144</v>
      </c>
      <c r="F19" s="50">
        <f>VLOOKUP(E19,Comptes!$A$2:$B$44,2,FALSE)</f>
        <v>0</v>
      </c>
      <c r="G19" s="49" t="s">
        <v>164</v>
      </c>
      <c r="H19" s="49"/>
      <c r="I19" s="52">
        <v>30</v>
      </c>
      <c r="J19" s="53" t="s">
        <v>165</v>
      </c>
      <c r="K19" s="54">
        <f t="shared" si="0"/>
        <v>0</v>
      </c>
      <c r="L19" s="54">
        <f t="shared" si="1"/>
        <v>1</v>
      </c>
    </row>
    <row r="20" spans="1:12" ht="13.5" customHeight="1">
      <c r="A20" s="47"/>
      <c r="B20" s="48">
        <v>38991</v>
      </c>
      <c r="C20" s="51">
        <v>512000</v>
      </c>
      <c r="D20" s="50">
        <f>VLOOKUP(C20,Comptes!$A$2:$B$44,2,FALSE)</f>
        <v>0</v>
      </c>
      <c r="E20" s="49" t="s">
        <v>144</v>
      </c>
      <c r="F20" s="50">
        <f>VLOOKUP(E20,Comptes!$A$2:$B$44,2,FALSE)</f>
        <v>0</v>
      </c>
      <c r="G20" s="49"/>
      <c r="H20" s="49" t="s">
        <v>166</v>
      </c>
      <c r="I20" s="52">
        <v>5477.16</v>
      </c>
      <c r="J20" s="53"/>
      <c r="K20" s="54">
        <f t="shared" si="0"/>
        <v>0</v>
      </c>
      <c r="L20" s="54">
        <f t="shared" si="1"/>
        <v>0</v>
      </c>
    </row>
    <row r="21" spans="1:12" ht="13.5" customHeight="1">
      <c r="A21" s="47"/>
      <c r="B21" s="48">
        <v>38991</v>
      </c>
      <c r="C21" s="51">
        <v>512100</v>
      </c>
      <c r="D21" s="50">
        <f>VLOOKUP(C21,Comptes!$A$2:$B$44,2,FALSE)</f>
        <v>0</v>
      </c>
      <c r="E21" s="49" t="s">
        <v>144</v>
      </c>
      <c r="F21" s="50">
        <f>VLOOKUP(E21,Comptes!$A$2:$B$44,2,FALSE)</f>
        <v>0</v>
      </c>
      <c r="G21" s="49"/>
      <c r="H21" s="49"/>
      <c r="I21" s="52">
        <v>5775.84</v>
      </c>
      <c r="J21" s="53"/>
      <c r="K21" s="54">
        <f t="shared" si="0"/>
        <v>0</v>
      </c>
      <c r="L21" s="54">
        <f t="shared" si="1"/>
        <v>0</v>
      </c>
    </row>
    <row r="22" spans="1:12" ht="13.5" customHeight="1">
      <c r="A22" s="47"/>
      <c r="B22" s="48">
        <v>38991</v>
      </c>
      <c r="C22" s="51">
        <v>530000</v>
      </c>
      <c r="D22" s="50">
        <f>VLOOKUP(C22,Comptes!$A$2:$B$44,2,FALSE)</f>
        <v>0</v>
      </c>
      <c r="E22" s="49" t="s">
        <v>144</v>
      </c>
      <c r="F22" s="50">
        <f>VLOOKUP(E22,Comptes!$A$2:$B$44,2,FALSE)</f>
        <v>0</v>
      </c>
      <c r="G22" s="49"/>
      <c r="H22" s="56"/>
      <c r="I22" s="52">
        <v>237.84</v>
      </c>
      <c r="J22" s="53"/>
      <c r="K22" s="54">
        <f t="shared" si="0"/>
        <v>1</v>
      </c>
      <c r="L22" s="54">
        <f t="shared" si="1"/>
        <v>0</v>
      </c>
    </row>
    <row r="23" spans="1:12" ht="13.5" customHeight="1">
      <c r="A23" s="35">
        <v>267001</v>
      </c>
      <c r="B23" s="57">
        <v>38992</v>
      </c>
      <c r="C23" s="36">
        <v>606700</v>
      </c>
      <c r="D23" s="58">
        <f>VLOOKUP(C23,Comptes!$A$2:$B$44,2,FALSE)</f>
        <v>0</v>
      </c>
      <c r="E23" s="36">
        <v>530000</v>
      </c>
      <c r="F23" s="58">
        <f>VLOOKUP(E23,Comptes!$A$2:$B$44,2,FALSE)</f>
        <v>0</v>
      </c>
      <c r="I23" s="37">
        <v>5.65</v>
      </c>
      <c r="K23" s="54">
        <f t="shared" si="0"/>
        <v>1</v>
      </c>
      <c r="L23" s="54">
        <f t="shared" si="1"/>
        <v>0</v>
      </c>
    </row>
    <row r="24" spans="1:12" ht="13.5" customHeight="1">
      <c r="A24" s="35">
        <v>267001</v>
      </c>
      <c r="B24" s="57">
        <v>38992</v>
      </c>
      <c r="C24" s="36">
        <v>606700</v>
      </c>
      <c r="D24" s="58">
        <f>VLOOKUP(C24,Comptes!$A$2:$B$44,2,FALSE)</f>
        <v>0</v>
      </c>
      <c r="E24" s="36">
        <v>530000</v>
      </c>
      <c r="F24" s="58">
        <f>VLOOKUP(E24,Comptes!$A$2:$B$44,2,FALSE)</f>
        <v>0</v>
      </c>
      <c r="I24" s="37">
        <v>21.04</v>
      </c>
      <c r="K24" s="54">
        <f t="shared" si="0"/>
        <v>1</v>
      </c>
      <c r="L24" s="54">
        <f t="shared" si="1"/>
        <v>0</v>
      </c>
    </row>
    <row r="25" spans="1:12" ht="13.5" customHeight="1">
      <c r="A25" s="35">
        <v>267001</v>
      </c>
      <c r="B25" s="57">
        <v>38992</v>
      </c>
      <c r="C25" s="36">
        <v>626000</v>
      </c>
      <c r="D25" s="58">
        <f>VLOOKUP(C25,Comptes!$A$2:$B$44,2,FALSE)</f>
        <v>0</v>
      </c>
      <c r="E25" s="36">
        <v>512000</v>
      </c>
      <c r="F25" s="58">
        <f>VLOOKUP(E25,Comptes!$A$2:$B$44,2,FALSE)</f>
        <v>0</v>
      </c>
      <c r="G25" s="59" t="s">
        <v>167</v>
      </c>
      <c r="H25" s="59" t="s">
        <v>166</v>
      </c>
      <c r="I25" s="37">
        <v>144.6</v>
      </c>
      <c r="K25" s="54">
        <f t="shared" si="0"/>
        <v>0</v>
      </c>
      <c r="L25" s="54">
        <f t="shared" si="1"/>
        <v>0</v>
      </c>
    </row>
    <row r="26" spans="1:12" ht="13.5" customHeight="1">
      <c r="A26" s="35">
        <v>267001</v>
      </c>
      <c r="B26" s="57">
        <v>38992</v>
      </c>
      <c r="C26" s="36">
        <v>606700</v>
      </c>
      <c r="D26" s="58">
        <f>VLOOKUP(C26,Comptes!$A$2:$B$44,2,FALSE)</f>
        <v>0</v>
      </c>
      <c r="E26" s="36">
        <v>512000</v>
      </c>
      <c r="F26" s="58">
        <f>VLOOKUP(E26,Comptes!$A$2:$B$44,2,FALSE)</f>
        <v>0</v>
      </c>
      <c r="G26" s="59" t="s">
        <v>168</v>
      </c>
      <c r="H26" s="59" t="s">
        <v>166</v>
      </c>
      <c r="I26" s="37">
        <v>44.28</v>
      </c>
      <c r="K26" s="54">
        <f t="shared" si="0"/>
        <v>0</v>
      </c>
      <c r="L26" s="54">
        <f t="shared" si="1"/>
        <v>0</v>
      </c>
    </row>
    <row r="27" spans="1:12" ht="13.5" customHeight="1">
      <c r="A27" s="35">
        <v>267001</v>
      </c>
      <c r="B27" s="57">
        <v>38992</v>
      </c>
      <c r="C27" s="36">
        <v>606700</v>
      </c>
      <c r="D27" s="58">
        <f>VLOOKUP(C27,Comptes!$A$2:$B$44,2,FALSE)</f>
        <v>0</v>
      </c>
      <c r="E27" s="36">
        <v>512000</v>
      </c>
      <c r="F27" s="58">
        <f>VLOOKUP(E27,Comptes!$A$2:$B$44,2,FALSE)</f>
        <v>0</v>
      </c>
      <c r="G27" s="59" t="s">
        <v>168</v>
      </c>
      <c r="H27" s="59" t="s">
        <v>166</v>
      </c>
      <c r="I27" s="37">
        <v>86.03</v>
      </c>
      <c r="K27" s="54">
        <f t="shared" si="0"/>
        <v>0</v>
      </c>
      <c r="L27" s="54">
        <f t="shared" si="1"/>
        <v>0</v>
      </c>
    </row>
    <row r="28" spans="1:12" ht="13.5" customHeight="1">
      <c r="A28" s="35">
        <v>267001</v>
      </c>
      <c r="B28" s="57">
        <v>38992</v>
      </c>
      <c r="C28" s="36">
        <v>606700</v>
      </c>
      <c r="D28" s="58">
        <f>VLOOKUP(C28,Comptes!$A$2:$B$44,2,FALSE)</f>
        <v>0</v>
      </c>
      <c r="E28" s="36">
        <v>512000</v>
      </c>
      <c r="F28" s="58">
        <f>VLOOKUP(E28,Comptes!$A$2:$B$44,2,FALSE)</f>
        <v>0</v>
      </c>
      <c r="G28" s="59" t="s">
        <v>168</v>
      </c>
      <c r="H28" s="59" t="s">
        <v>166</v>
      </c>
      <c r="I28" s="37">
        <v>11.9</v>
      </c>
      <c r="K28" s="54">
        <f t="shared" si="0"/>
        <v>0</v>
      </c>
      <c r="L28" s="54">
        <f t="shared" si="1"/>
        <v>0</v>
      </c>
    </row>
    <row r="29" spans="1:12" ht="13.5" customHeight="1">
      <c r="A29" s="35">
        <v>267001</v>
      </c>
      <c r="B29" s="57">
        <v>38992</v>
      </c>
      <c r="C29" s="36">
        <v>625000</v>
      </c>
      <c r="D29" s="58">
        <f>VLOOKUP(C29,Comptes!$A$2:$B$44,2,FALSE)</f>
        <v>0</v>
      </c>
      <c r="E29" s="36">
        <v>512000</v>
      </c>
      <c r="F29" s="58">
        <f>VLOOKUP(E29,Comptes!$A$2:$B$44,2,FALSE)</f>
        <v>0</v>
      </c>
      <c r="G29" s="59" t="s">
        <v>168</v>
      </c>
      <c r="H29" s="59" t="s">
        <v>166</v>
      </c>
      <c r="I29" s="37">
        <v>144</v>
      </c>
      <c r="K29" s="54">
        <f t="shared" si="0"/>
        <v>0</v>
      </c>
      <c r="L29" s="54">
        <f t="shared" si="1"/>
        <v>0</v>
      </c>
    </row>
    <row r="30" spans="1:12" ht="13.5" customHeight="1">
      <c r="A30" s="35">
        <v>267001</v>
      </c>
      <c r="B30" s="57">
        <v>38992</v>
      </c>
      <c r="C30" s="60">
        <v>468600</v>
      </c>
      <c r="D30" s="58">
        <f>VLOOKUP(C30,Comptes!$A$2:$B$44,2,FALSE)</f>
        <v>0</v>
      </c>
      <c r="E30" s="59">
        <v>512000</v>
      </c>
      <c r="F30" s="58">
        <f>VLOOKUP(E30,Comptes!$A$2:$B$44,2,FALSE)</f>
        <v>0</v>
      </c>
      <c r="G30" s="59" t="s">
        <v>169</v>
      </c>
      <c r="H30" s="59" t="s">
        <v>166</v>
      </c>
      <c r="I30" s="61">
        <v>285</v>
      </c>
      <c r="J30" s="35"/>
      <c r="K30" s="54">
        <f t="shared" si="0"/>
        <v>0</v>
      </c>
      <c r="L30" s="54">
        <f t="shared" si="1"/>
        <v>0</v>
      </c>
    </row>
    <row r="31" spans="1:12" ht="13.5" customHeight="1">
      <c r="A31" s="35">
        <v>267002</v>
      </c>
      <c r="B31" s="57">
        <v>38992</v>
      </c>
      <c r="C31" s="60">
        <v>512000</v>
      </c>
      <c r="D31" s="58">
        <f>VLOOKUP(C31,Comptes!$A$2:$B$44,2,FALSE)</f>
        <v>0</v>
      </c>
      <c r="E31" s="59">
        <v>754000</v>
      </c>
      <c r="F31" s="58">
        <f>VLOOKUP(E31,Comptes!$A$2:$B$44,2,FALSE)</f>
        <v>0</v>
      </c>
      <c r="G31" s="59" t="s">
        <v>170</v>
      </c>
      <c r="H31" s="59" t="s">
        <v>166</v>
      </c>
      <c r="I31" s="61">
        <v>168</v>
      </c>
      <c r="J31" s="35"/>
      <c r="K31" s="54">
        <f t="shared" si="0"/>
        <v>0</v>
      </c>
      <c r="L31" s="54">
        <f t="shared" si="1"/>
        <v>0</v>
      </c>
    </row>
    <row r="32" spans="1:12" ht="13.5" customHeight="1">
      <c r="A32" s="35">
        <v>267002</v>
      </c>
      <c r="B32" s="57">
        <v>38992</v>
      </c>
      <c r="C32" s="60">
        <v>512000</v>
      </c>
      <c r="D32" s="58">
        <f>VLOOKUP(C32,Comptes!$A$2:$B$44,2,FALSE)</f>
        <v>0</v>
      </c>
      <c r="E32" s="62">
        <v>511200</v>
      </c>
      <c r="F32" s="58">
        <f>VLOOKUP(E32,Comptes!$A$2:$B$44,2,FALSE)</f>
        <v>0</v>
      </c>
      <c r="G32" s="59" t="s">
        <v>170</v>
      </c>
      <c r="H32" s="59" t="s">
        <v>166</v>
      </c>
      <c r="I32" s="61">
        <v>586</v>
      </c>
      <c r="J32" s="53"/>
      <c r="K32" s="54">
        <f t="shared" si="0"/>
        <v>0</v>
      </c>
      <c r="L32" s="54">
        <f t="shared" si="1"/>
        <v>1</v>
      </c>
    </row>
    <row r="33" spans="1:12" ht="13.5" customHeight="1">
      <c r="A33" s="35">
        <v>267002</v>
      </c>
      <c r="B33" s="57">
        <v>38992</v>
      </c>
      <c r="C33" s="60">
        <v>512000</v>
      </c>
      <c r="D33" s="58">
        <f>VLOOKUP(C33,Comptes!$A$2:$B$44,2,FALSE)</f>
        <v>0</v>
      </c>
      <c r="E33" s="59">
        <v>706210</v>
      </c>
      <c r="F33" s="58">
        <f>VLOOKUP(E33,Comptes!$A$2:$B$44,2,FALSE)</f>
        <v>0</v>
      </c>
      <c r="G33" s="59" t="s">
        <v>170</v>
      </c>
      <c r="H33" s="59" t="s">
        <v>166</v>
      </c>
      <c r="I33" s="61">
        <v>255</v>
      </c>
      <c r="J33" s="35"/>
      <c r="K33" s="54">
        <f t="shared" si="0"/>
        <v>0</v>
      </c>
      <c r="L33" s="54">
        <f t="shared" si="1"/>
        <v>0</v>
      </c>
    </row>
    <row r="34" spans="1:12" ht="13.5" customHeight="1">
      <c r="A34" s="35">
        <v>267002</v>
      </c>
      <c r="B34" s="57">
        <v>38992</v>
      </c>
      <c r="C34" s="60">
        <v>512000</v>
      </c>
      <c r="D34" s="58">
        <f>VLOOKUP(C34,Comptes!$A$2:$B$44,2,FALSE)</f>
        <v>0</v>
      </c>
      <c r="E34" s="59">
        <v>706220</v>
      </c>
      <c r="F34" s="58">
        <f>VLOOKUP(E34,Comptes!$A$2:$B$44,2,FALSE)</f>
        <v>0</v>
      </c>
      <c r="G34" s="59" t="s">
        <v>170</v>
      </c>
      <c r="H34" s="59" t="s">
        <v>166</v>
      </c>
      <c r="I34" s="61">
        <v>154</v>
      </c>
      <c r="J34" s="35"/>
      <c r="K34" s="54">
        <f t="shared" si="0"/>
        <v>0</v>
      </c>
      <c r="L34" s="54">
        <f t="shared" si="1"/>
        <v>0</v>
      </c>
    </row>
    <row r="35" spans="1:12" ht="13.5" customHeight="1">
      <c r="A35" s="35">
        <v>267002</v>
      </c>
      <c r="B35" s="57">
        <v>38992</v>
      </c>
      <c r="C35" s="60">
        <v>512000</v>
      </c>
      <c r="D35" s="58">
        <f>VLOOKUP(C35,Comptes!$A$2:$B$44,2,FALSE)</f>
        <v>0</v>
      </c>
      <c r="E35" s="59">
        <v>706220</v>
      </c>
      <c r="F35" s="58">
        <f>VLOOKUP(E35,Comptes!$A$2:$B$44,2,FALSE)</f>
        <v>0</v>
      </c>
      <c r="G35" s="59" t="s">
        <v>170</v>
      </c>
      <c r="H35" s="59" t="s">
        <v>166</v>
      </c>
      <c r="I35" s="61">
        <v>42</v>
      </c>
      <c r="J35" s="35"/>
      <c r="K35" s="54">
        <f t="shared" si="0"/>
        <v>0</v>
      </c>
      <c r="L35" s="54">
        <f t="shared" si="1"/>
        <v>0</v>
      </c>
    </row>
    <row r="36" spans="1:12" ht="13.5" customHeight="1">
      <c r="A36" s="35">
        <v>267002</v>
      </c>
      <c r="B36" s="57">
        <v>38992</v>
      </c>
      <c r="C36" s="60">
        <v>530000</v>
      </c>
      <c r="D36" s="58">
        <f>VLOOKUP(C36,Comptes!$A$2:$B$44,2,FALSE)</f>
        <v>0</v>
      </c>
      <c r="E36" s="59">
        <v>706220</v>
      </c>
      <c r="F36" s="58">
        <f>VLOOKUP(E36,Comptes!$A$2:$B$44,2,FALSE)</f>
        <v>0</v>
      </c>
      <c r="G36" s="59"/>
      <c r="H36" s="59"/>
      <c r="I36" s="61">
        <v>35</v>
      </c>
      <c r="J36" s="35"/>
      <c r="K36" s="54">
        <f t="shared" si="0"/>
        <v>1</v>
      </c>
      <c r="L36" s="54">
        <f t="shared" si="1"/>
        <v>0</v>
      </c>
    </row>
    <row r="37" spans="1:12" ht="13.5" customHeight="1">
      <c r="A37" s="35">
        <v>267002</v>
      </c>
      <c r="B37" s="57">
        <v>38992</v>
      </c>
      <c r="C37" s="60">
        <v>512000</v>
      </c>
      <c r="D37" s="58">
        <f>VLOOKUP(C37,Comptes!$A$2:$B$44,2,FALSE)</f>
        <v>0</v>
      </c>
      <c r="E37" s="59">
        <v>706230</v>
      </c>
      <c r="F37" s="58">
        <f>VLOOKUP(E37,Comptes!$A$2:$B$44,2,FALSE)</f>
        <v>0</v>
      </c>
      <c r="G37" s="59" t="s">
        <v>170</v>
      </c>
      <c r="H37" s="59" t="s">
        <v>166</v>
      </c>
      <c r="I37" s="61">
        <v>192</v>
      </c>
      <c r="J37" s="35"/>
      <c r="K37" s="54">
        <f t="shared" si="0"/>
        <v>0</v>
      </c>
      <c r="L37" s="54">
        <f t="shared" si="1"/>
        <v>0</v>
      </c>
    </row>
    <row r="38" spans="1:12" ht="13.5" customHeight="1">
      <c r="A38" s="35">
        <v>267002</v>
      </c>
      <c r="B38" s="57">
        <v>38992</v>
      </c>
      <c r="C38" s="60">
        <v>512000</v>
      </c>
      <c r="D38" s="58">
        <f>VLOOKUP(C38,Comptes!$A$2:$B$44,2,FALSE)</f>
        <v>0</v>
      </c>
      <c r="E38" s="59">
        <v>756000</v>
      </c>
      <c r="F38" s="58">
        <f>VLOOKUP(E38,Comptes!$A$2:$B$44,2,FALSE)</f>
        <v>0</v>
      </c>
      <c r="G38" s="59" t="s">
        <v>170</v>
      </c>
      <c r="H38" s="59" t="s">
        <v>166</v>
      </c>
      <c r="I38" s="61">
        <v>80</v>
      </c>
      <c r="J38" s="35"/>
      <c r="K38" s="54">
        <f t="shared" si="0"/>
        <v>0</v>
      </c>
      <c r="L38" s="54">
        <f t="shared" si="1"/>
        <v>0</v>
      </c>
    </row>
    <row r="39" spans="1:12" ht="13.5" customHeight="1">
      <c r="A39" s="35">
        <v>267002</v>
      </c>
      <c r="B39" s="57">
        <v>38992</v>
      </c>
      <c r="C39" s="60">
        <v>512000</v>
      </c>
      <c r="D39" s="58">
        <f>VLOOKUP(C39,Comptes!$A$2:$B$44,2,FALSE)</f>
        <v>0</v>
      </c>
      <c r="E39" s="59">
        <v>756000</v>
      </c>
      <c r="F39" s="58">
        <f>VLOOKUP(E39,Comptes!$A$2:$B$44,2,FALSE)</f>
        <v>0</v>
      </c>
      <c r="G39" s="59" t="s">
        <v>170</v>
      </c>
      <c r="H39" s="59" t="s">
        <v>166</v>
      </c>
      <c r="I39" s="61">
        <v>32</v>
      </c>
      <c r="J39" s="35"/>
      <c r="K39" s="54">
        <f t="shared" si="0"/>
        <v>0</v>
      </c>
      <c r="L39" s="54">
        <f t="shared" si="1"/>
        <v>0</v>
      </c>
    </row>
    <row r="40" spans="1:12" ht="13.5" customHeight="1">
      <c r="A40" s="35">
        <v>267002</v>
      </c>
      <c r="B40" s="57">
        <v>38992</v>
      </c>
      <c r="C40" s="60">
        <v>512000</v>
      </c>
      <c r="D40" s="58">
        <f>VLOOKUP(C40,Comptes!$A$2:$B$44,2,FALSE)</f>
        <v>0</v>
      </c>
      <c r="E40" s="59">
        <v>756000</v>
      </c>
      <c r="F40" s="58">
        <f>VLOOKUP(E40,Comptes!$A$2:$B$44,2,FALSE)</f>
        <v>0</v>
      </c>
      <c r="G40" s="59" t="s">
        <v>170</v>
      </c>
      <c r="H40" s="59" t="s">
        <v>166</v>
      </c>
      <c r="I40" s="61">
        <v>320</v>
      </c>
      <c r="J40" s="35"/>
      <c r="K40" s="54">
        <f t="shared" si="0"/>
        <v>0</v>
      </c>
      <c r="L40" s="54">
        <f t="shared" si="1"/>
        <v>0</v>
      </c>
    </row>
    <row r="41" spans="1:12" ht="13.5" customHeight="1">
      <c r="A41" s="35">
        <v>267002</v>
      </c>
      <c r="B41" s="57">
        <v>38992</v>
      </c>
      <c r="C41" s="60">
        <v>512000</v>
      </c>
      <c r="D41" s="58">
        <f>VLOOKUP(C41,Comptes!$A$2:$B$44,2,FALSE)</f>
        <v>0</v>
      </c>
      <c r="E41" s="59">
        <v>708000</v>
      </c>
      <c r="F41" s="58">
        <f>VLOOKUP(E41,Comptes!$A$2:$B$44,2,FALSE)</f>
        <v>0</v>
      </c>
      <c r="G41" s="59" t="s">
        <v>170</v>
      </c>
      <c r="H41" s="59" t="s">
        <v>166</v>
      </c>
      <c r="I41" s="61">
        <v>81</v>
      </c>
      <c r="J41" s="35"/>
      <c r="K41" s="54">
        <f t="shared" si="0"/>
        <v>0</v>
      </c>
      <c r="L41" s="54">
        <f t="shared" si="1"/>
        <v>0</v>
      </c>
    </row>
    <row r="42" spans="1:12" ht="13.5" customHeight="1">
      <c r="A42" s="35">
        <v>267003</v>
      </c>
      <c r="B42" s="57">
        <v>38992</v>
      </c>
      <c r="C42" s="60">
        <v>615000</v>
      </c>
      <c r="D42" s="58">
        <f>VLOOKUP(C42,Comptes!$A$2:$B$44,2,FALSE)</f>
        <v>0</v>
      </c>
      <c r="E42" s="59">
        <v>530000</v>
      </c>
      <c r="F42" s="58">
        <f>VLOOKUP(E42,Comptes!$A$2:$B$44,2,FALSE)</f>
        <v>0</v>
      </c>
      <c r="G42" s="59"/>
      <c r="H42" s="63"/>
      <c r="I42" s="61">
        <v>10.28</v>
      </c>
      <c r="J42" s="35"/>
      <c r="K42" s="54">
        <f t="shared" si="0"/>
        <v>1</v>
      </c>
      <c r="L42" s="54">
        <f t="shared" si="1"/>
        <v>0</v>
      </c>
    </row>
    <row r="43" spans="1:12" ht="13.5" customHeight="1">
      <c r="A43" s="35">
        <v>267004</v>
      </c>
      <c r="B43" s="57">
        <v>38992</v>
      </c>
      <c r="C43" s="60">
        <v>512000</v>
      </c>
      <c r="D43" s="58">
        <f>VLOOKUP(C43,Comptes!$A$2:$B$44,2,FALSE)</f>
        <v>0</v>
      </c>
      <c r="E43" s="59">
        <v>754000</v>
      </c>
      <c r="F43" s="58">
        <f>VLOOKUP(E43,Comptes!$A$2:$B$44,2,FALSE)</f>
        <v>0</v>
      </c>
      <c r="G43" s="59" t="s">
        <v>171</v>
      </c>
      <c r="H43" s="59" t="s">
        <v>166</v>
      </c>
      <c r="I43" s="61">
        <v>15.15</v>
      </c>
      <c r="J43" s="35"/>
      <c r="K43" s="54">
        <f t="shared" si="0"/>
        <v>0</v>
      </c>
      <c r="L43" s="54">
        <f t="shared" si="1"/>
        <v>0</v>
      </c>
    </row>
    <row r="44" spans="1:12" ht="13.5" customHeight="1">
      <c r="A44" s="35">
        <v>267005</v>
      </c>
      <c r="B44" s="57">
        <v>38995</v>
      </c>
      <c r="C44" s="60">
        <v>512000</v>
      </c>
      <c r="D44" s="58">
        <f>VLOOKUP(C44,Comptes!$A$2:$B$44,2,FALSE)</f>
        <v>0</v>
      </c>
      <c r="E44" s="59">
        <v>706100</v>
      </c>
      <c r="F44" s="58">
        <f>VLOOKUP(E44,Comptes!$A$2:$B$44,2,FALSE)</f>
        <v>0</v>
      </c>
      <c r="G44" s="59" t="s">
        <v>170</v>
      </c>
      <c r="H44" s="59" t="s">
        <v>166</v>
      </c>
      <c r="I44" s="61">
        <v>535</v>
      </c>
      <c r="J44" s="35"/>
      <c r="K44" s="54">
        <f t="shared" si="0"/>
        <v>0</v>
      </c>
      <c r="L44" s="54">
        <f t="shared" si="1"/>
        <v>0</v>
      </c>
    </row>
    <row r="45" spans="1:12" ht="13.5" customHeight="1">
      <c r="A45" s="35">
        <v>267005</v>
      </c>
      <c r="B45" s="57">
        <v>38995</v>
      </c>
      <c r="C45" s="60">
        <v>512000</v>
      </c>
      <c r="D45" s="58">
        <f>VLOOKUP(C45,Comptes!$A$2:$B$44,2,FALSE)</f>
        <v>0</v>
      </c>
      <c r="E45" s="59">
        <v>706420</v>
      </c>
      <c r="F45" s="58">
        <f>VLOOKUP(E45,Comptes!$A$2:$B$44,2,FALSE)</f>
        <v>0</v>
      </c>
      <c r="G45" s="59" t="s">
        <v>170</v>
      </c>
      <c r="H45" s="59" t="s">
        <v>166</v>
      </c>
      <c r="I45" s="61">
        <v>172.5</v>
      </c>
      <c r="J45" s="35"/>
      <c r="K45" s="54">
        <f t="shared" si="0"/>
        <v>0</v>
      </c>
      <c r="L45" s="54">
        <f t="shared" si="1"/>
        <v>0</v>
      </c>
    </row>
    <row r="46" spans="1:12" ht="13.5" customHeight="1">
      <c r="A46" s="35">
        <v>267005</v>
      </c>
      <c r="B46" s="57">
        <v>38995</v>
      </c>
      <c r="C46" s="60">
        <v>512000</v>
      </c>
      <c r="D46" s="58">
        <f>VLOOKUP(C46,Comptes!$A$2:$B$44,2,FALSE)</f>
        <v>0</v>
      </c>
      <c r="E46" s="59">
        <v>706100</v>
      </c>
      <c r="F46" s="58">
        <f>VLOOKUP(E46,Comptes!$A$2:$B$44,2,FALSE)</f>
        <v>0</v>
      </c>
      <c r="G46" s="36" t="s">
        <v>164</v>
      </c>
      <c r="H46" s="59" t="s">
        <v>166</v>
      </c>
      <c r="I46" s="61">
        <v>320</v>
      </c>
      <c r="J46" s="35"/>
      <c r="K46" s="54">
        <f t="shared" si="0"/>
        <v>0</v>
      </c>
      <c r="L46" s="54">
        <f t="shared" si="1"/>
        <v>0</v>
      </c>
    </row>
    <row r="47" spans="1:12" ht="13.5" customHeight="1">
      <c r="A47" s="35">
        <v>267005</v>
      </c>
      <c r="B47" s="57">
        <v>38995</v>
      </c>
      <c r="C47" s="60">
        <v>512000</v>
      </c>
      <c r="D47" s="58">
        <f>VLOOKUP(C47,Comptes!$A$2:$B$44,2,FALSE)</f>
        <v>0</v>
      </c>
      <c r="E47" s="59">
        <v>706420</v>
      </c>
      <c r="F47" s="58">
        <f>VLOOKUP(E47,Comptes!$A$2:$B$44,2,FALSE)</f>
        <v>0</v>
      </c>
      <c r="G47" s="36" t="s">
        <v>164</v>
      </c>
      <c r="H47" s="59" t="s">
        <v>166</v>
      </c>
      <c r="I47" s="61">
        <v>20</v>
      </c>
      <c r="J47" s="35"/>
      <c r="K47" s="54">
        <f t="shared" si="0"/>
        <v>0</v>
      </c>
      <c r="L47" s="54">
        <f t="shared" si="1"/>
        <v>0</v>
      </c>
    </row>
    <row r="48" spans="1:12" ht="13.5" customHeight="1">
      <c r="A48" s="35">
        <v>267006</v>
      </c>
      <c r="B48" s="57">
        <v>38996</v>
      </c>
      <c r="C48" s="60">
        <v>606700</v>
      </c>
      <c r="D48" s="58">
        <f>VLOOKUP(C48,Comptes!$A$2:$B$44,2,FALSE)</f>
        <v>0</v>
      </c>
      <c r="E48" s="59">
        <v>512000</v>
      </c>
      <c r="F48" s="58">
        <f>VLOOKUP(E48,Comptes!$A$2:$B$44,2,FALSE)</f>
        <v>0</v>
      </c>
      <c r="G48" s="59" t="s">
        <v>172</v>
      </c>
      <c r="H48" s="59" t="s">
        <v>166</v>
      </c>
      <c r="I48" s="61">
        <v>102.11</v>
      </c>
      <c r="J48" s="35"/>
      <c r="K48" s="54">
        <f t="shared" si="0"/>
        <v>0</v>
      </c>
      <c r="L48" s="54">
        <f t="shared" si="1"/>
        <v>0</v>
      </c>
    </row>
    <row r="49" spans="1:12" ht="13.5" customHeight="1">
      <c r="A49" s="35">
        <v>267006</v>
      </c>
      <c r="B49" s="57">
        <v>38996</v>
      </c>
      <c r="C49" s="60">
        <v>606700</v>
      </c>
      <c r="D49" s="58">
        <f>VLOOKUP(C49,Comptes!$A$2:$B$44,2,FALSE)</f>
        <v>0</v>
      </c>
      <c r="E49" s="59">
        <v>512000</v>
      </c>
      <c r="F49" s="58">
        <f>VLOOKUP(E49,Comptes!$A$2:$B$44,2,FALSE)</f>
        <v>0</v>
      </c>
      <c r="G49" s="59" t="s">
        <v>173</v>
      </c>
      <c r="H49" s="59" t="s">
        <v>166</v>
      </c>
      <c r="I49" s="61">
        <v>15.18</v>
      </c>
      <c r="J49" s="35"/>
      <c r="K49" s="54">
        <f t="shared" si="0"/>
        <v>0</v>
      </c>
      <c r="L49" s="54">
        <f t="shared" si="1"/>
        <v>0</v>
      </c>
    </row>
    <row r="50" spans="1:12" ht="13.5" customHeight="1">
      <c r="A50" s="35">
        <v>267007</v>
      </c>
      <c r="B50" s="57">
        <v>38995</v>
      </c>
      <c r="C50" s="60">
        <v>645000</v>
      </c>
      <c r="D50" s="58">
        <f>VLOOKUP(C50,Comptes!$A$2:$B$44,2,FALSE)</f>
        <v>0</v>
      </c>
      <c r="E50" s="59">
        <v>512000</v>
      </c>
      <c r="F50" s="58">
        <f>VLOOKUP(E50,Comptes!$A$2:$B$44,2,FALSE)</f>
        <v>0</v>
      </c>
      <c r="H50" s="63"/>
      <c r="I50" s="61">
        <v>0</v>
      </c>
      <c r="J50" s="35"/>
      <c r="K50" s="54">
        <f t="shared" si="0"/>
        <v>0</v>
      </c>
      <c r="L50" s="54">
        <f t="shared" si="1"/>
        <v>0</v>
      </c>
    </row>
    <row r="51" spans="1:12" ht="13.5" customHeight="1">
      <c r="A51" s="47">
        <v>256220</v>
      </c>
      <c r="B51" s="48">
        <v>39000</v>
      </c>
      <c r="C51" s="49">
        <v>512000</v>
      </c>
      <c r="D51" s="50">
        <f>VLOOKUP(C51,Comptes!$A$2:$B$44,2,FALSE)</f>
        <v>0</v>
      </c>
      <c r="E51" s="49">
        <v>511200</v>
      </c>
      <c r="F51" s="50">
        <f>VLOOKUP(E51,Comptes!$A$2:$B$44,2,FALSE)</f>
        <v>0</v>
      </c>
      <c r="G51" s="49" t="s">
        <v>164</v>
      </c>
      <c r="H51" s="59" t="s">
        <v>166</v>
      </c>
      <c r="I51" s="52">
        <v>30</v>
      </c>
      <c r="J51" s="53" t="s">
        <v>174</v>
      </c>
      <c r="K51" s="54">
        <f t="shared" si="0"/>
        <v>0</v>
      </c>
      <c r="L51" s="54">
        <f t="shared" si="1"/>
        <v>1</v>
      </c>
    </row>
    <row r="52" spans="1:12" ht="13.5" customHeight="1">
      <c r="A52" s="35">
        <v>267008</v>
      </c>
      <c r="B52" s="57">
        <v>39000</v>
      </c>
      <c r="C52" s="60">
        <v>625000</v>
      </c>
      <c r="D52" s="58">
        <f>VLOOKUP(C52,Comptes!$A$2:$B$44,2,FALSE)</f>
        <v>0</v>
      </c>
      <c r="E52" s="59">
        <v>530000</v>
      </c>
      <c r="F52" s="58">
        <f>VLOOKUP(E52,Comptes!$A$2:$B$44,2,FALSE)</f>
        <v>0</v>
      </c>
      <c r="H52" s="63"/>
      <c r="I52" s="61">
        <v>26.4</v>
      </c>
      <c r="J52" s="35"/>
      <c r="K52" s="54">
        <f t="shared" si="0"/>
        <v>1</v>
      </c>
      <c r="L52" s="54">
        <f t="shared" si="1"/>
        <v>0</v>
      </c>
    </row>
    <row r="53" spans="1:12" ht="13.5" customHeight="1">
      <c r="A53" s="35">
        <v>267009</v>
      </c>
      <c r="B53" s="57">
        <v>39000</v>
      </c>
      <c r="C53" s="60">
        <v>615000</v>
      </c>
      <c r="D53" s="58">
        <f>VLOOKUP(C53,Comptes!$A$2:$B$44,2,FALSE)</f>
        <v>0</v>
      </c>
      <c r="E53" s="59">
        <v>512000</v>
      </c>
      <c r="F53" s="58">
        <f>VLOOKUP(E53,Comptes!$A$2:$B$44,2,FALSE)</f>
        <v>0</v>
      </c>
      <c r="G53" s="59" t="s">
        <v>175</v>
      </c>
      <c r="H53" s="59" t="s">
        <v>176</v>
      </c>
      <c r="I53" s="61">
        <v>38</v>
      </c>
      <c r="J53" s="35"/>
      <c r="K53" s="54">
        <f t="shared" si="0"/>
        <v>0</v>
      </c>
      <c r="L53" s="54">
        <f t="shared" si="1"/>
        <v>0</v>
      </c>
    </row>
    <row r="54" spans="1:12" ht="13.5" customHeight="1">
      <c r="A54" s="35">
        <v>267010</v>
      </c>
      <c r="B54" s="57">
        <v>39000</v>
      </c>
      <c r="C54" s="60">
        <v>615000</v>
      </c>
      <c r="D54" s="58">
        <f>VLOOKUP(C54,Comptes!$A$2:$B$44,2,FALSE)</f>
        <v>0</v>
      </c>
      <c r="E54" s="59">
        <v>512000</v>
      </c>
      <c r="F54" s="58">
        <f>VLOOKUP(E54,Comptes!$A$2:$B$44,2,FALSE)</f>
        <v>0</v>
      </c>
      <c r="G54" s="59" t="s">
        <v>177</v>
      </c>
      <c r="H54" s="59" t="s">
        <v>176</v>
      </c>
      <c r="I54" s="61">
        <v>168.72</v>
      </c>
      <c r="J54" s="35"/>
      <c r="K54" s="54">
        <f t="shared" si="0"/>
        <v>0</v>
      </c>
      <c r="L54" s="54">
        <f t="shared" si="1"/>
        <v>0</v>
      </c>
    </row>
    <row r="55" spans="1:12" ht="13.5" customHeight="1">
      <c r="A55" s="35">
        <v>267011</v>
      </c>
      <c r="B55" s="57">
        <v>39000</v>
      </c>
      <c r="C55" s="60">
        <v>613200</v>
      </c>
      <c r="D55" s="58">
        <f>VLOOKUP(C55,Comptes!$A$2:$B$44,2,FALSE)</f>
        <v>0</v>
      </c>
      <c r="E55" s="59">
        <v>512000</v>
      </c>
      <c r="F55" s="58">
        <f>VLOOKUP(E55,Comptes!$A$2:$B$44,2,FALSE)</f>
        <v>0</v>
      </c>
      <c r="G55" s="59" t="s">
        <v>178</v>
      </c>
      <c r="H55" s="59" t="s">
        <v>166</v>
      </c>
      <c r="I55" s="61">
        <v>989.21</v>
      </c>
      <c r="J55" s="64" t="s">
        <v>179</v>
      </c>
      <c r="K55" s="54">
        <f t="shared" si="0"/>
        <v>0</v>
      </c>
      <c r="L55" s="54">
        <f t="shared" si="1"/>
        <v>0</v>
      </c>
    </row>
    <row r="56" spans="1:12" ht="13.5" customHeight="1">
      <c r="A56" s="35">
        <v>267012</v>
      </c>
      <c r="B56" s="57">
        <v>39006</v>
      </c>
      <c r="C56" s="60">
        <v>606110</v>
      </c>
      <c r="D56" s="58">
        <f>VLOOKUP(C56,Comptes!$A$2:$B$44,2,FALSE)</f>
        <v>0</v>
      </c>
      <c r="E56" s="59">
        <v>512000</v>
      </c>
      <c r="F56" s="58">
        <f>VLOOKUP(E56,Comptes!$A$2:$B$44,2,FALSE)</f>
        <v>0</v>
      </c>
      <c r="G56" s="59" t="s">
        <v>178</v>
      </c>
      <c r="H56" s="59" t="s">
        <v>176</v>
      </c>
      <c r="I56" s="61">
        <v>21.45</v>
      </c>
      <c r="J56" s="35"/>
      <c r="K56" s="54">
        <f t="shared" si="0"/>
        <v>0</v>
      </c>
      <c r="L56" s="54">
        <f t="shared" si="1"/>
        <v>0</v>
      </c>
    </row>
    <row r="57" spans="1:12" ht="13.5" customHeight="1">
      <c r="A57" s="35">
        <v>267013</v>
      </c>
      <c r="B57" s="57">
        <v>39000</v>
      </c>
      <c r="C57" s="60">
        <v>606400</v>
      </c>
      <c r="D57" s="58">
        <f>VLOOKUP(C57,Comptes!$A$2:$B$44,2,FALSE)</f>
        <v>0</v>
      </c>
      <c r="E57" s="59">
        <v>512000</v>
      </c>
      <c r="F57" s="58">
        <f>VLOOKUP(E57,Comptes!$A$2:$B$44,2,FALSE)</f>
        <v>0</v>
      </c>
      <c r="G57" s="59" t="s">
        <v>180</v>
      </c>
      <c r="H57" s="59" t="s">
        <v>176</v>
      </c>
      <c r="I57" s="61">
        <v>71.98</v>
      </c>
      <c r="J57" s="35"/>
      <c r="K57" s="54">
        <f t="shared" si="0"/>
        <v>0</v>
      </c>
      <c r="L57" s="54">
        <f t="shared" si="1"/>
        <v>0</v>
      </c>
    </row>
    <row r="58" spans="1:12" ht="13.5" customHeight="1">
      <c r="A58" s="35">
        <v>267014</v>
      </c>
      <c r="B58" s="57">
        <v>39000</v>
      </c>
      <c r="C58" s="60">
        <v>512000</v>
      </c>
      <c r="D58" s="58">
        <f>VLOOKUP(C58,Comptes!$A$2:$B$44,2,FALSE)</f>
        <v>0</v>
      </c>
      <c r="E58" s="59">
        <v>754000</v>
      </c>
      <c r="F58" s="58">
        <f>VLOOKUP(E58,Comptes!$A$2:$B$44,2,FALSE)</f>
        <v>0</v>
      </c>
      <c r="G58" s="36" t="s">
        <v>170</v>
      </c>
      <c r="H58" s="59" t="s">
        <v>166</v>
      </c>
      <c r="I58" s="61">
        <v>101</v>
      </c>
      <c r="J58" s="35"/>
      <c r="K58" s="54">
        <f t="shared" si="0"/>
        <v>0</v>
      </c>
      <c r="L58" s="54">
        <f t="shared" si="1"/>
        <v>0</v>
      </c>
    </row>
    <row r="59" spans="1:12" ht="13.5" customHeight="1">
      <c r="A59" s="35">
        <v>267014</v>
      </c>
      <c r="B59" s="57">
        <v>39000</v>
      </c>
      <c r="C59" s="60">
        <v>530000</v>
      </c>
      <c r="D59" s="58">
        <f>VLOOKUP(C59,Comptes!$A$2:$B$44,2,FALSE)</f>
        <v>0</v>
      </c>
      <c r="E59" s="59">
        <v>754000</v>
      </c>
      <c r="F59" s="58">
        <f>VLOOKUP(E59,Comptes!$A$2:$B$44,2,FALSE)</f>
        <v>0</v>
      </c>
      <c r="H59" s="59"/>
      <c r="I59" s="61">
        <v>3</v>
      </c>
      <c r="J59" s="35"/>
      <c r="K59" s="54">
        <f t="shared" si="0"/>
        <v>1</v>
      </c>
      <c r="L59" s="54">
        <f t="shared" si="1"/>
        <v>0</v>
      </c>
    </row>
    <row r="60" spans="1:12" ht="13.5" customHeight="1">
      <c r="A60" s="35">
        <v>267014</v>
      </c>
      <c r="B60" s="57">
        <v>39000</v>
      </c>
      <c r="C60" s="60">
        <v>512000</v>
      </c>
      <c r="D60" s="58">
        <f>VLOOKUP(C60,Comptes!$A$2:$B$44,2,FALSE)</f>
        <v>0</v>
      </c>
      <c r="E60" s="59">
        <v>754000</v>
      </c>
      <c r="F60" s="58">
        <f>VLOOKUP(E60,Comptes!$A$2:$B$44,2,FALSE)</f>
        <v>0</v>
      </c>
      <c r="G60" s="36" t="s">
        <v>170</v>
      </c>
      <c r="H60" s="59" t="s">
        <v>166</v>
      </c>
      <c r="I60" s="61">
        <v>145</v>
      </c>
      <c r="J60" s="35"/>
      <c r="K60" s="54">
        <f t="shared" si="0"/>
        <v>0</v>
      </c>
      <c r="L60" s="54">
        <f t="shared" si="1"/>
        <v>0</v>
      </c>
    </row>
    <row r="61" spans="1:12" ht="13.5" customHeight="1">
      <c r="A61" s="35">
        <v>267014</v>
      </c>
      <c r="B61" s="57">
        <v>39000</v>
      </c>
      <c r="C61" s="60">
        <v>512000</v>
      </c>
      <c r="D61" s="58">
        <f>VLOOKUP(C61,Comptes!$A$2:$B$44,2,FALSE)</f>
        <v>0</v>
      </c>
      <c r="E61" s="59">
        <v>706210</v>
      </c>
      <c r="F61" s="58">
        <f>VLOOKUP(E61,Comptes!$A$2:$B$44,2,FALSE)</f>
        <v>0</v>
      </c>
      <c r="G61" s="36" t="s">
        <v>170</v>
      </c>
      <c r="H61" s="59" t="s">
        <v>166</v>
      </c>
      <c r="I61" s="61">
        <v>143</v>
      </c>
      <c r="J61" s="35"/>
      <c r="K61" s="54">
        <f t="shared" si="0"/>
        <v>0</v>
      </c>
      <c r="L61" s="54">
        <f t="shared" si="1"/>
        <v>0</v>
      </c>
    </row>
    <row r="62" spans="1:12" ht="13.5" customHeight="1">
      <c r="A62" s="35">
        <v>267014</v>
      </c>
      <c r="B62" s="57">
        <v>39000</v>
      </c>
      <c r="C62" s="60">
        <v>530000</v>
      </c>
      <c r="D62" s="58">
        <f>VLOOKUP(C62,Comptes!$A$2:$B$44,2,FALSE)</f>
        <v>0</v>
      </c>
      <c r="E62" s="59">
        <v>706210</v>
      </c>
      <c r="F62" s="58">
        <f>VLOOKUP(E62,Comptes!$A$2:$B$44,2,FALSE)</f>
        <v>0</v>
      </c>
      <c r="H62" s="59"/>
      <c r="I62" s="61">
        <v>19</v>
      </c>
      <c r="J62" s="35"/>
      <c r="K62" s="54">
        <f t="shared" si="0"/>
        <v>1</v>
      </c>
      <c r="L62" s="54">
        <f t="shared" si="1"/>
        <v>0</v>
      </c>
    </row>
    <row r="63" spans="1:12" ht="13.5" customHeight="1">
      <c r="A63" s="35">
        <v>267014</v>
      </c>
      <c r="B63" s="57">
        <v>39000</v>
      </c>
      <c r="C63" s="60">
        <v>512000</v>
      </c>
      <c r="D63" s="58">
        <f>VLOOKUP(C63,Comptes!$A$2:$B$44,2,FALSE)</f>
        <v>0</v>
      </c>
      <c r="E63" s="59">
        <v>706220</v>
      </c>
      <c r="F63" s="58">
        <f>VLOOKUP(E63,Comptes!$A$2:$B$44,2,FALSE)</f>
        <v>0</v>
      </c>
      <c r="G63" s="36" t="s">
        <v>170</v>
      </c>
      <c r="H63" s="59" t="s">
        <v>166</v>
      </c>
      <c r="I63" s="61">
        <v>153</v>
      </c>
      <c r="J63" s="35"/>
      <c r="K63" s="54">
        <f t="shared" si="0"/>
        <v>0</v>
      </c>
      <c r="L63" s="54">
        <f t="shared" si="1"/>
        <v>0</v>
      </c>
    </row>
    <row r="64" spans="1:12" ht="13.5" customHeight="1">
      <c r="A64" s="35">
        <v>267014</v>
      </c>
      <c r="B64" s="57">
        <v>39000</v>
      </c>
      <c r="C64" s="60">
        <v>530000</v>
      </c>
      <c r="D64" s="58">
        <f>VLOOKUP(C64,Comptes!$A$2:$B$44,2,FALSE)</f>
        <v>0</v>
      </c>
      <c r="E64" s="59">
        <v>706220</v>
      </c>
      <c r="F64" s="58">
        <f>VLOOKUP(E64,Comptes!$A$2:$B$44,2,FALSE)</f>
        <v>0</v>
      </c>
      <c r="H64" s="59"/>
      <c r="I64" s="61">
        <v>15</v>
      </c>
      <c r="J64" s="35"/>
      <c r="K64" s="54">
        <f t="shared" si="0"/>
        <v>1</v>
      </c>
      <c r="L64" s="54">
        <f t="shared" si="1"/>
        <v>0</v>
      </c>
    </row>
    <row r="65" spans="1:12" ht="13.5" customHeight="1">
      <c r="A65" s="35">
        <v>267014</v>
      </c>
      <c r="B65" s="57">
        <v>39000</v>
      </c>
      <c r="C65" s="60">
        <v>512000</v>
      </c>
      <c r="D65" s="58">
        <f>VLOOKUP(C65,Comptes!$A$2:$B$44,2,FALSE)</f>
        <v>0</v>
      </c>
      <c r="E65" s="59">
        <v>706230</v>
      </c>
      <c r="F65" s="58">
        <f>VLOOKUP(E65,Comptes!$A$2:$B$44,2,FALSE)</f>
        <v>0</v>
      </c>
      <c r="G65" s="36" t="s">
        <v>170</v>
      </c>
      <c r="H65" s="59" t="s">
        <v>166</v>
      </c>
      <c r="I65" s="61">
        <v>216</v>
      </c>
      <c r="J65" s="35"/>
      <c r="K65" s="54">
        <f t="shared" si="0"/>
        <v>0</v>
      </c>
      <c r="L65" s="54">
        <f t="shared" si="1"/>
        <v>0</v>
      </c>
    </row>
    <row r="66" spans="1:12" ht="13.5" customHeight="1">
      <c r="A66" s="35">
        <v>267014</v>
      </c>
      <c r="B66" s="57">
        <v>39000</v>
      </c>
      <c r="C66" s="60">
        <v>530000</v>
      </c>
      <c r="D66" s="58">
        <f>VLOOKUP(C66,Comptes!$A$2:$B$44,2,FALSE)</f>
        <v>0</v>
      </c>
      <c r="E66" s="59">
        <v>706230</v>
      </c>
      <c r="F66" s="58">
        <f>VLOOKUP(E66,Comptes!$A$2:$B$44,2,FALSE)</f>
        <v>0</v>
      </c>
      <c r="H66" s="59"/>
      <c r="I66" s="61">
        <v>22</v>
      </c>
      <c r="J66" s="35"/>
      <c r="K66" s="54">
        <f t="shared" si="0"/>
        <v>1</v>
      </c>
      <c r="L66" s="54">
        <f t="shared" si="1"/>
        <v>0</v>
      </c>
    </row>
    <row r="67" spans="1:12" ht="13.5" customHeight="1">
      <c r="A67" s="35">
        <v>267014</v>
      </c>
      <c r="B67" s="57">
        <v>39000</v>
      </c>
      <c r="C67" s="60">
        <v>512000</v>
      </c>
      <c r="D67" s="58">
        <f>VLOOKUP(C67,Comptes!$A$2:$B$44,2,FALSE)</f>
        <v>0</v>
      </c>
      <c r="E67" s="59">
        <v>756000</v>
      </c>
      <c r="F67" s="58">
        <f>VLOOKUP(E67,Comptes!$A$2:$B$44,2,FALSE)</f>
        <v>0</v>
      </c>
      <c r="G67" s="36" t="s">
        <v>170</v>
      </c>
      <c r="H67" s="59" t="s">
        <v>166</v>
      </c>
      <c r="I67" s="61">
        <v>100</v>
      </c>
      <c r="J67" s="35"/>
      <c r="K67" s="54">
        <f t="shared" si="0"/>
        <v>0</v>
      </c>
      <c r="L67" s="54">
        <f t="shared" si="1"/>
        <v>0</v>
      </c>
    </row>
    <row r="68" spans="1:12" ht="13.5" customHeight="1">
      <c r="A68" s="35">
        <v>267014</v>
      </c>
      <c r="B68" s="57">
        <v>39000</v>
      </c>
      <c r="C68" s="60">
        <v>530000</v>
      </c>
      <c r="D68" s="58">
        <f>VLOOKUP(C68,Comptes!$A$2:$B$44,2,FALSE)</f>
        <v>0</v>
      </c>
      <c r="E68" s="59">
        <v>756000</v>
      </c>
      <c r="F68" s="58">
        <f>VLOOKUP(E68,Comptes!$A$2:$B$44,2,FALSE)</f>
        <v>0</v>
      </c>
      <c r="H68" s="59"/>
      <c r="I68" s="61">
        <v>28</v>
      </c>
      <c r="J68" s="35"/>
      <c r="K68" s="54">
        <f t="shared" si="0"/>
        <v>1</v>
      </c>
      <c r="L68" s="54">
        <f t="shared" si="1"/>
        <v>0</v>
      </c>
    </row>
    <row r="69" spans="1:12" ht="13.5" customHeight="1">
      <c r="A69" s="35">
        <v>267014</v>
      </c>
      <c r="B69" s="57">
        <v>39000</v>
      </c>
      <c r="C69" s="60">
        <v>512000</v>
      </c>
      <c r="D69" s="58">
        <f>VLOOKUP(C69,Comptes!$A$2:$B$44,2,FALSE)</f>
        <v>0</v>
      </c>
      <c r="E69" s="59">
        <v>756000</v>
      </c>
      <c r="F69" s="58">
        <f>VLOOKUP(E69,Comptes!$A$2:$B$44,2,FALSE)</f>
        <v>0</v>
      </c>
      <c r="G69" s="36" t="s">
        <v>170</v>
      </c>
      <c r="H69" s="59" t="s">
        <v>166</v>
      </c>
      <c r="I69" s="61">
        <v>416</v>
      </c>
      <c r="J69" s="35"/>
      <c r="K69" s="54">
        <f t="shared" si="0"/>
        <v>0</v>
      </c>
      <c r="L69" s="54">
        <f t="shared" si="1"/>
        <v>0</v>
      </c>
    </row>
    <row r="70" spans="1:12" ht="13.5" customHeight="1">
      <c r="A70" s="35">
        <v>267014</v>
      </c>
      <c r="B70" s="57">
        <v>39000</v>
      </c>
      <c r="C70" s="60">
        <v>512000</v>
      </c>
      <c r="D70" s="58">
        <f>VLOOKUP(C70,Comptes!$A$2:$B$44,2,FALSE)</f>
        <v>0</v>
      </c>
      <c r="E70" s="59">
        <v>708000</v>
      </c>
      <c r="F70" s="58">
        <f>VLOOKUP(E70,Comptes!$A$2:$B$44,2,FALSE)</f>
        <v>0</v>
      </c>
      <c r="G70" s="36" t="s">
        <v>170</v>
      </c>
      <c r="H70" s="59" t="s">
        <v>166</v>
      </c>
      <c r="I70" s="61">
        <v>13</v>
      </c>
      <c r="J70" s="35"/>
      <c r="K70" s="54">
        <f t="shared" si="0"/>
        <v>0</v>
      </c>
      <c r="L70" s="54">
        <f t="shared" si="1"/>
        <v>0</v>
      </c>
    </row>
    <row r="71" spans="1:12" ht="13.5" customHeight="1">
      <c r="A71" s="35">
        <v>267014</v>
      </c>
      <c r="B71" s="57">
        <v>39000</v>
      </c>
      <c r="C71" s="60">
        <v>530000</v>
      </c>
      <c r="D71" s="58">
        <f>VLOOKUP(C71,Comptes!$A$2:$B$44,2,FALSE)</f>
        <v>0</v>
      </c>
      <c r="E71" s="59">
        <v>708000</v>
      </c>
      <c r="F71" s="58">
        <f>VLOOKUP(E71,Comptes!$A$2:$B$44,2,FALSE)</f>
        <v>0</v>
      </c>
      <c r="H71" s="59"/>
      <c r="I71" s="61">
        <v>14</v>
      </c>
      <c r="J71" s="35"/>
      <c r="K71" s="54">
        <f t="shared" si="0"/>
        <v>1</v>
      </c>
      <c r="L71" s="54">
        <f t="shared" si="1"/>
        <v>0</v>
      </c>
    </row>
    <row r="72" spans="1:12" ht="13.5" customHeight="1">
      <c r="A72" s="35">
        <v>267014</v>
      </c>
      <c r="B72" s="57">
        <v>39000</v>
      </c>
      <c r="C72" s="60">
        <v>512000</v>
      </c>
      <c r="D72" s="58">
        <f>VLOOKUP(C72,Comptes!$A$2:$B$44,2,FALSE)</f>
        <v>0</v>
      </c>
      <c r="E72" s="59">
        <v>708000</v>
      </c>
      <c r="F72" s="58">
        <f>VLOOKUP(E72,Comptes!$A$2:$B$44,2,FALSE)</f>
        <v>0</v>
      </c>
      <c r="G72" s="36" t="s">
        <v>170</v>
      </c>
      <c r="H72" s="59" t="s">
        <v>166</v>
      </c>
      <c r="I72" s="61">
        <v>117</v>
      </c>
      <c r="J72" s="35"/>
      <c r="K72" s="54">
        <f t="shared" si="0"/>
        <v>0</v>
      </c>
      <c r="L72" s="54">
        <f t="shared" si="1"/>
        <v>0</v>
      </c>
    </row>
    <row r="73" spans="1:12" ht="13.5" customHeight="1">
      <c r="A73" s="35">
        <v>267014</v>
      </c>
      <c r="B73" s="57">
        <v>39000</v>
      </c>
      <c r="C73" s="60">
        <v>530000</v>
      </c>
      <c r="D73" s="58">
        <f>VLOOKUP(C73,Comptes!$A$2:$B$44,2,FALSE)</f>
        <v>0</v>
      </c>
      <c r="E73" s="59">
        <v>706230</v>
      </c>
      <c r="F73" s="58">
        <f>VLOOKUP(E73,Comptes!$A$2:$B$44,2,FALSE)</f>
        <v>0</v>
      </c>
      <c r="H73" s="63"/>
      <c r="I73" s="61">
        <v>10</v>
      </c>
      <c r="J73" s="35"/>
      <c r="K73" s="54">
        <f t="shared" si="0"/>
        <v>1</v>
      </c>
      <c r="L73" s="54">
        <f t="shared" si="1"/>
        <v>0</v>
      </c>
    </row>
    <row r="74" spans="1:12" ht="13.5" customHeight="1">
      <c r="A74" s="65">
        <v>256173</v>
      </c>
      <c r="B74" s="57">
        <v>39003</v>
      </c>
      <c r="C74" s="60">
        <v>606110</v>
      </c>
      <c r="D74" s="58">
        <f>VLOOKUP(C74,Comptes!$A$2:$B$44,2,FALSE)</f>
        <v>0</v>
      </c>
      <c r="E74" s="59">
        <v>512000</v>
      </c>
      <c r="F74" s="58">
        <f>VLOOKUP(E74,Comptes!$A$2:$B$44,2,FALSE)</f>
        <v>0</v>
      </c>
      <c r="G74" s="36" t="s">
        <v>178</v>
      </c>
      <c r="H74" s="59" t="s">
        <v>166</v>
      </c>
      <c r="I74" s="37">
        <v>147</v>
      </c>
      <c r="J74" s="35" t="s">
        <v>181</v>
      </c>
      <c r="K74" s="54">
        <f t="shared" si="0"/>
        <v>0</v>
      </c>
      <c r="L74" s="54">
        <f t="shared" si="1"/>
        <v>0</v>
      </c>
    </row>
    <row r="75" spans="1:12" ht="13.5" customHeight="1">
      <c r="A75" s="35">
        <v>267015</v>
      </c>
      <c r="B75" s="57">
        <v>39007</v>
      </c>
      <c r="C75" s="60">
        <v>512000</v>
      </c>
      <c r="D75" s="58">
        <f>VLOOKUP(C75,Comptes!$A$2:$B$44,2,FALSE)</f>
        <v>0</v>
      </c>
      <c r="E75" s="59">
        <v>754000</v>
      </c>
      <c r="F75" s="58">
        <f>VLOOKUP(E75,Comptes!$A$2:$B$44,2,FALSE)</f>
        <v>0</v>
      </c>
      <c r="G75" s="36" t="s">
        <v>170</v>
      </c>
      <c r="H75" s="59" t="s">
        <v>176</v>
      </c>
      <c r="I75" s="61">
        <v>184</v>
      </c>
      <c r="J75" s="35"/>
      <c r="K75" s="54">
        <f t="shared" si="0"/>
        <v>0</v>
      </c>
      <c r="L75" s="54">
        <f t="shared" si="1"/>
        <v>0</v>
      </c>
    </row>
    <row r="76" spans="1:12" ht="13.5" customHeight="1">
      <c r="A76" s="35">
        <v>267015</v>
      </c>
      <c r="B76" s="57">
        <v>39007</v>
      </c>
      <c r="C76" s="60">
        <v>512000</v>
      </c>
      <c r="D76" s="58">
        <f>VLOOKUP(C76,Comptes!$A$2:$B$44,2,FALSE)</f>
        <v>0</v>
      </c>
      <c r="E76" s="59">
        <v>706230</v>
      </c>
      <c r="F76" s="58">
        <f>VLOOKUP(E76,Comptes!$A$2:$B$44,2,FALSE)</f>
        <v>0</v>
      </c>
      <c r="G76" s="36" t="s">
        <v>170</v>
      </c>
      <c r="H76" s="59" t="s">
        <v>176</v>
      </c>
      <c r="I76" s="61">
        <v>50</v>
      </c>
      <c r="J76" s="35"/>
      <c r="K76" s="54">
        <f t="shared" si="0"/>
        <v>0</v>
      </c>
      <c r="L76" s="54">
        <f t="shared" si="1"/>
        <v>0</v>
      </c>
    </row>
    <row r="77" spans="1:12" ht="13.5" customHeight="1">
      <c r="A77" s="35">
        <v>267015</v>
      </c>
      <c r="B77" s="57">
        <v>39007</v>
      </c>
      <c r="C77" s="60">
        <v>512000</v>
      </c>
      <c r="D77" s="58">
        <f>VLOOKUP(C77,Comptes!$A$2:$B$44,2,FALSE)</f>
        <v>0</v>
      </c>
      <c r="E77" s="59">
        <v>706210</v>
      </c>
      <c r="F77" s="58">
        <f>VLOOKUP(E77,Comptes!$A$2:$B$44,2,FALSE)</f>
        <v>0</v>
      </c>
      <c r="G77" s="36" t="s">
        <v>170</v>
      </c>
      <c r="H77" s="59" t="s">
        <v>176</v>
      </c>
      <c r="I77" s="61">
        <v>48</v>
      </c>
      <c r="J77" s="35" t="s">
        <v>182</v>
      </c>
      <c r="K77" s="54">
        <f t="shared" si="0"/>
        <v>0</v>
      </c>
      <c r="L77" s="54">
        <f t="shared" si="1"/>
        <v>0</v>
      </c>
    </row>
    <row r="78" spans="1:12" ht="13.5" customHeight="1">
      <c r="A78" s="35">
        <v>267015</v>
      </c>
      <c r="B78" s="57">
        <v>39007</v>
      </c>
      <c r="C78" s="60">
        <v>512000</v>
      </c>
      <c r="D78" s="58">
        <f>VLOOKUP(C78,Comptes!$A$2:$B$44,2,FALSE)</f>
        <v>0</v>
      </c>
      <c r="E78" s="59">
        <v>756000</v>
      </c>
      <c r="F78" s="58">
        <f>VLOOKUP(E78,Comptes!$A$2:$B$44,2,FALSE)</f>
        <v>0</v>
      </c>
      <c r="G78" s="36" t="s">
        <v>170</v>
      </c>
      <c r="H78" s="59" t="s">
        <v>176</v>
      </c>
      <c r="I78" s="61">
        <v>535</v>
      </c>
      <c r="J78" s="35"/>
      <c r="K78" s="54">
        <f t="shared" si="0"/>
        <v>0</v>
      </c>
      <c r="L78" s="54">
        <f t="shared" si="1"/>
        <v>0</v>
      </c>
    </row>
    <row r="79" spans="1:12" ht="13.5" customHeight="1">
      <c r="A79" s="35">
        <v>267015</v>
      </c>
      <c r="B79" s="57">
        <v>39007</v>
      </c>
      <c r="C79" s="60">
        <v>512000</v>
      </c>
      <c r="D79" s="58">
        <f>VLOOKUP(C79,Comptes!$A$2:$B$44,2,FALSE)</f>
        <v>0</v>
      </c>
      <c r="E79" s="59">
        <v>708000</v>
      </c>
      <c r="F79" s="58">
        <f>VLOOKUP(E79,Comptes!$A$2:$B$44,2,FALSE)</f>
        <v>0</v>
      </c>
      <c r="G79" s="36" t="s">
        <v>170</v>
      </c>
      <c r="H79" s="59" t="s">
        <v>176</v>
      </c>
      <c r="I79" s="61">
        <v>144</v>
      </c>
      <c r="J79" s="35"/>
      <c r="K79" s="54">
        <f t="shared" si="0"/>
        <v>0</v>
      </c>
      <c r="L79" s="54">
        <f t="shared" si="1"/>
        <v>0</v>
      </c>
    </row>
    <row r="80" spans="1:12" ht="13.5" customHeight="1">
      <c r="A80" s="35">
        <v>267016</v>
      </c>
      <c r="B80" s="57">
        <v>39007</v>
      </c>
      <c r="C80" s="60">
        <v>606700</v>
      </c>
      <c r="D80" s="58">
        <f>VLOOKUP(C80,Comptes!$A$2:$B$44,2,FALSE)</f>
        <v>0</v>
      </c>
      <c r="E80" s="59">
        <v>512000</v>
      </c>
      <c r="F80" s="58">
        <f>VLOOKUP(E80,Comptes!$A$2:$B$44,2,FALSE)</f>
        <v>0</v>
      </c>
      <c r="G80" s="59" t="s">
        <v>183</v>
      </c>
      <c r="H80" s="59" t="s">
        <v>176</v>
      </c>
      <c r="I80" s="61">
        <v>60.16</v>
      </c>
      <c r="J80" s="35"/>
      <c r="K80" s="54">
        <f t="shared" si="0"/>
        <v>0</v>
      </c>
      <c r="L80" s="54">
        <f t="shared" si="1"/>
        <v>0</v>
      </c>
    </row>
    <row r="81" spans="1:12" ht="13.5" customHeight="1">
      <c r="A81" s="35">
        <v>267017</v>
      </c>
      <c r="B81" s="57">
        <v>39007</v>
      </c>
      <c r="C81" s="60">
        <v>626500</v>
      </c>
      <c r="D81" s="58">
        <f>VLOOKUP(C81,Comptes!$A$2:$B$44,2,FALSE)</f>
        <v>0</v>
      </c>
      <c r="E81" s="59">
        <v>512000</v>
      </c>
      <c r="F81" s="58">
        <f>VLOOKUP(E81,Comptes!$A$2:$B$44,2,FALSE)</f>
        <v>0</v>
      </c>
      <c r="G81" s="36" t="s">
        <v>178</v>
      </c>
      <c r="H81" s="59" t="s">
        <v>166</v>
      </c>
      <c r="I81" s="61">
        <v>19.9</v>
      </c>
      <c r="J81" s="35" t="s">
        <v>184</v>
      </c>
      <c r="K81" s="54">
        <f t="shared" si="0"/>
        <v>0</v>
      </c>
      <c r="L81" s="54">
        <f t="shared" si="1"/>
        <v>0</v>
      </c>
    </row>
    <row r="82" spans="1:12" ht="13.5" customHeight="1">
      <c r="A82" s="35">
        <v>267018</v>
      </c>
      <c r="B82" s="57">
        <v>38991</v>
      </c>
      <c r="C82" s="60">
        <v>512000</v>
      </c>
      <c r="D82" s="58">
        <f>VLOOKUP(C82,Comptes!$A$2:$B$44,2,FALSE)</f>
        <v>0</v>
      </c>
      <c r="E82" s="59">
        <v>754000</v>
      </c>
      <c r="F82" s="58">
        <f>VLOOKUP(E82,Comptes!$A$2:$B$44,2,FALSE)</f>
        <v>0</v>
      </c>
      <c r="G82" s="59" t="s">
        <v>171</v>
      </c>
      <c r="H82" s="59" t="s">
        <v>166</v>
      </c>
      <c r="I82" s="61">
        <v>76.22</v>
      </c>
      <c r="J82" s="35"/>
      <c r="K82" s="54">
        <f t="shared" si="0"/>
        <v>0</v>
      </c>
      <c r="L82" s="54">
        <f t="shared" si="1"/>
        <v>0</v>
      </c>
    </row>
    <row r="83" spans="1:12" ht="13.5" customHeight="1">
      <c r="A83" s="35">
        <v>267018</v>
      </c>
      <c r="B83" s="57">
        <v>38991</v>
      </c>
      <c r="C83" s="60">
        <v>512000</v>
      </c>
      <c r="D83" s="58">
        <f>VLOOKUP(C83,Comptes!$A$2:$B$44,2,FALSE)</f>
        <v>0</v>
      </c>
      <c r="E83" s="59">
        <v>754000</v>
      </c>
      <c r="F83" s="58">
        <f>VLOOKUP(E83,Comptes!$A$2:$B$44,2,FALSE)</f>
        <v>0</v>
      </c>
      <c r="G83" s="59" t="s">
        <v>171</v>
      </c>
      <c r="H83" s="59" t="s">
        <v>166</v>
      </c>
      <c r="I83" s="61">
        <v>15.24</v>
      </c>
      <c r="J83" s="35"/>
      <c r="K83" s="54">
        <f t="shared" si="0"/>
        <v>0</v>
      </c>
      <c r="L83" s="54">
        <f t="shared" si="1"/>
        <v>0</v>
      </c>
    </row>
    <row r="84" spans="1:12" ht="13.5" customHeight="1">
      <c r="A84" s="35">
        <v>267018</v>
      </c>
      <c r="B84" s="57">
        <v>38991</v>
      </c>
      <c r="C84" s="60">
        <v>512000</v>
      </c>
      <c r="D84" s="58">
        <f>VLOOKUP(C84,Comptes!$A$2:$B$44,2,FALSE)</f>
        <v>0</v>
      </c>
      <c r="E84" s="59">
        <v>754000</v>
      </c>
      <c r="F84" s="58">
        <f>VLOOKUP(E84,Comptes!$A$2:$B$44,2,FALSE)</f>
        <v>0</v>
      </c>
      <c r="G84" s="59" t="s">
        <v>171</v>
      </c>
      <c r="H84" s="59" t="s">
        <v>166</v>
      </c>
      <c r="I84" s="61">
        <v>150</v>
      </c>
      <c r="J84" s="35"/>
      <c r="K84" s="54">
        <f t="shared" si="0"/>
        <v>0</v>
      </c>
      <c r="L84" s="54">
        <f t="shared" si="1"/>
        <v>0</v>
      </c>
    </row>
    <row r="85" spans="1:12" ht="13.5" customHeight="1">
      <c r="A85" s="35">
        <v>267018</v>
      </c>
      <c r="B85" s="57">
        <v>38991</v>
      </c>
      <c r="C85" s="60">
        <v>512000</v>
      </c>
      <c r="D85" s="58">
        <f>VLOOKUP(C85,Comptes!$A$2:$B$44,2,FALSE)</f>
        <v>0</v>
      </c>
      <c r="E85" s="59">
        <v>754000</v>
      </c>
      <c r="F85" s="58">
        <f>VLOOKUP(E85,Comptes!$A$2:$B$44,2,FALSE)</f>
        <v>0</v>
      </c>
      <c r="G85" s="59" t="s">
        <v>171</v>
      </c>
      <c r="H85" s="59" t="s">
        <v>166</v>
      </c>
      <c r="I85" s="61">
        <v>15</v>
      </c>
      <c r="J85" s="35"/>
      <c r="K85" s="54">
        <f t="shared" si="0"/>
        <v>0</v>
      </c>
      <c r="L85" s="54">
        <f t="shared" si="1"/>
        <v>0</v>
      </c>
    </row>
    <row r="86" spans="1:12" ht="13.5" customHeight="1">
      <c r="A86" s="35">
        <v>267019</v>
      </c>
      <c r="B86" s="57">
        <v>39009</v>
      </c>
      <c r="C86" s="60">
        <v>530000</v>
      </c>
      <c r="D86" s="58">
        <f>VLOOKUP(C86,Comptes!$A$2:$B$44,2,FALSE)</f>
        <v>0</v>
      </c>
      <c r="E86" s="59">
        <v>706230</v>
      </c>
      <c r="F86" s="58">
        <f>VLOOKUP(E86,Comptes!$A$2:$B$44,2,FALSE)</f>
        <v>0</v>
      </c>
      <c r="G86" s="59"/>
      <c r="H86" s="59"/>
      <c r="I86" s="61">
        <v>55</v>
      </c>
      <c r="J86" s="35"/>
      <c r="K86" s="54">
        <f t="shared" si="0"/>
        <v>1</v>
      </c>
      <c r="L86" s="54">
        <f t="shared" si="1"/>
        <v>0</v>
      </c>
    </row>
    <row r="87" spans="1:12" ht="13.5" customHeight="1">
      <c r="A87" s="35">
        <v>267020</v>
      </c>
      <c r="B87" s="57">
        <v>39009</v>
      </c>
      <c r="C87" s="60">
        <v>606700</v>
      </c>
      <c r="D87" s="58">
        <f>VLOOKUP(C87,Comptes!$A$2:$B$44,2,FALSE)</f>
        <v>0</v>
      </c>
      <c r="E87" s="59">
        <v>512000</v>
      </c>
      <c r="F87" s="58">
        <f>VLOOKUP(E87,Comptes!$A$2:$B$44,2,FALSE)</f>
        <v>0</v>
      </c>
      <c r="G87" s="59" t="s">
        <v>185</v>
      </c>
      <c r="H87" s="59" t="s">
        <v>176</v>
      </c>
      <c r="I87" s="61">
        <v>32.58</v>
      </c>
      <c r="J87" s="35"/>
      <c r="K87" s="54">
        <f t="shared" si="0"/>
        <v>0</v>
      </c>
      <c r="L87" s="54">
        <f t="shared" si="1"/>
        <v>0</v>
      </c>
    </row>
    <row r="88" spans="1:12" ht="13.5" customHeight="1">
      <c r="A88" s="35">
        <v>267020</v>
      </c>
      <c r="B88" s="57">
        <v>39009</v>
      </c>
      <c r="C88" s="60">
        <v>606700</v>
      </c>
      <c r="D88" s="58">
        <f>VLOOKUP(C88,Comptes!$A$2:$B$44,2,FALSE)</f>
        <v>0</v>
      </c>
      <c r="E88" s="59">
        <v>512000</v>
      </c>
      <c r="F88" s="58">
        <f>VLOOKUP(E88,Comptes!$A$2:$B$44,2,FALSE)</f>
        <v>0</v>
      </c>
      <c r="G88" s="59" t="s">
        <v>186</v>
      </c>
      <c r="H88" s="59" t="s">
        <v>176</v>
      </c>
      <c r="I88" s="61">
        <v>146.89</v>
      </c>
      <c r="J88" s="35"/>
      <c r="K88" s="54">
        <f t="shared" si="0"/>
        <v>0</v>
      </c>
      <c r="L88" s="54">
        <f t="shared" si="1"/>
        <v>0</v>
      </c>
    </row>
    <row r="89" spans="1:12" ht="13.5" customHeight="1">
      <c r="A89" s="35">
        <v>267020</v>
      </c>
      <c r="B89" s="57">
        <v>39009</v>
      </c>
      <c r="C89" s="60">
        <v>606700</v>
      </c>
      <c r="D89" s="58">
        <f>VLOOKUP(C89,Comptes!$A$2:$B$44,2,FALSE)</f>
        <v>0</v>
      </c>
      <c r="E89" s="59">
        <v>530000</v>
      </c>
      <c r="F89" s="58">
        <f>VLOOKUP(E89,Comptes!$A$2:$B$44,2,FALSE)</f>
        <v>0</v>
      </c>
      <c r="G89" s="59"/>
      <c r="H89" s="63"/>
      <c r="I89" s="61">
        <f>19+14.7</f>
        <v>33.7</v>
      </c>
      <c r="J89" s="35"/>
      <c r="K89" s="54">
        <f t="shared" si="0"/>
        <v>1</v>
      </c>
      <c r="L89" s="54">
        <f t="shared" si="1"/>
        <v>0</v>
      </c>
    </row>
    <row r="90" spans="1:12" ht="13.5" customHeight="1">
      <c r="A90" s="35">
        <v>267020</v>
      </c>
      <c r="B90" s="57">
        <v>39009</v>
      </c>
      <c r="C90" s="60">
        <v>606700</v>
      </c>
      <c r="D90" s="58">
        <f>VLOOKUP(C90,Comptes!$A$2:$B$44,2,FALSE)</f>
        <v>0</v>
      </c>
      <c r="E90" s="59">
        <v>530000</v>
      </c>
      <c r="F90" s="58">
        <f>VLOOKUP(E90,Comptes!$A$2:$B$44,2,FALSE)</f>
        <v>0</v>
      </c>
      <c r="G90" s="59"/>
      <c r="H90" s="63"/>
      <c r="I90" s="61">
        <v>12.65</v>
      </c>
      <c r="J90" s="35" t="s">
        <v>187</v>
      </c>
      <c r="K90" s="54">
        <f t="shared" si="0"/>
        <v>1</v>
      </c>
      <c r="L90" s="54">
        <f t="shared" si="1"/>
        <v>0</v>
      </c>
    </row>
    <row r="91" spans="1:12" ht="13.5" customHeight="1">
      <c r="A91" s="35">
        <v>267020</v>
      </c>
      <c r="B91" s="57">
        <v>39009</v>
      </c>
      <c r="C91" s="60">
        <v>606700</v>
      </c>
      <c r="D91" s="58">
        <f>VLOOKUP(C91,Comptes!$A$2:$B$44,2,FALSE)</f>
        <v>0</v>
      </c>
      <c r="E91" s="59">
        <v>512000</v>
      </c>
      <c r="F91" s="58">
        <f>VLOOKUP(E91,Comptes!$A$2:$B$44,2,FALSE)</f>
        <v>0</v>
      </c>
      <c r="G91" s="59" t="s">
        <v>188</v>
      </c>
      <c r="H91" s="59" t="s">
        <v>176</v>
      </c>
      <c r="I91" s="61">
        <v>132.14</v>
      </c>
      <c r="J91" s="35"/>
      <c r="K91" s="54">
        <f t="shared" si="0"/>
        <v>0</v>
      </c>
      <c r="L91" s="54">
        <f t="shared" si="1"/>
        <v>0</v>
      </c>
    </row>
    <row r="92" spans="1:12" ht="13.5" customHeight="1">
      <c r="A92" s="35">
        <v>267021</v>
      </c>
      <c r="B92" s="57">
        <v>39010</v>
      </c>
      <c r="C92" s="60">
        <v>615000</v>
      </c>
      <c r="D92" s="58">
        <f>VLOOKUP(C92,Comptes!$A$2:$B$44,2,FALSE)</f>
        <v>0</v>
      </c>
      <c r="E92" s="59">
        <v>512000</v>
      </c>
      <c r="F92" s="58">
        <f>VLOOKUP(E92,Comptes!$A$2:$B$44,2,FALSE)</f>
        <v>0</v>
      </c>
      <c r="G92" s="59" t="s">
        <v>189</v>
      </c>
      <c r="H92" s="59" t="s">
        <v>176</v>
      </c>
      <c r="I92" s="61">
        <v>48.8</v>
      </c>
      <c r="J92" s="35" t="s">
        <v>190</v>
      </c>
      <c r="K92" s="54">
        <f t="shared" si="0"/>
        <v>0</v>
      </c>
      <c r="L92" s="54">
        <f t="shared" si="1"/>
        <v>0</v>
      </c>
    </row>
    <row r="93" spans="1:12" ht="13.5" customHeight="1">
      <c r="A93" s="35">
        <v>267022</v>
      </c>
      <c r="B93" s="57">
        <v>39010</v>
      </c>
      <c r="C93" s="60">
        <v>626000</v>
      </c>
      <c r="D93" s="58">
        <f>VLOOKUP(C93,Comptes!$A$2:$B$44,2,FALSE)</f>
        <v>0</v>
      </c>
      <c r="E93" s="59">
        <v>512000</v>
      </c>
      <c r="F93" s="58">
        <f>VLOOKUP(E93,Comptes!$A$2:$B$44,2,FALSE)</f>
        <v>0</v>
      </c>
      <c r="G93" s="59" t="s">
        <v>191</v>
      </c>
      <c r="H93" s="59" t="s">
        <v>176</v>
      </c>
      <c r="I93" s="61">
        <v>284.45</v>
      </c>
      <c r="J93" s="35"/>
      <c r="K93" s="54">
        <f t="shared" si="0"/>
        <v>0</v>
      </c>
      <c r="L93" s="54">
        <f t="shared" si="1"/>
        <v>0</v>
      </c>
    </row>
    <row r="94" spans="1:12" ht="13.5" customHeight="1">
      <c r="A94" s="35">
        <v>267023</v>
      </c>
      <c r="B94" s="57">
        <v>39014</v>
      </c>
      <c r="C94" s="60">
        <v>626500</v>
      </c>
      <c r="D94" s="58">
        <f>VLOOKUP(C94,Comptes!$A$2:$B$44,2,FALSE)</f>
        <v>0</v>
      </c>
      <c r="E94" s="59">
        <v>512000</v>
      </c>
      <c r="F94" s="58">
        <f>VLOOKUP(E94,Comptes!$A$2:$B$44,2,FALSE)</f>
        <v>0</v>
      </c>
      <c r="G94" s="59" t="s">
        <v>178</v>
      </c>
      <c r="H94" s="59" t="s">
        <v>176</v>
      </c>
      <c r="I94" s="61">
        <v>38.86</v>
      </c>
      <c r="J94" s="35"/>
      <c r="K94" s="54">
        <f t="shared" si="0"/>
        <v>0</v>
      </c>
      <c r="L94" s="54">
        <f t="shared" si="1"/>
        <v>0</v>
      </c>
    </row>
    <row r="95" spans="1:12" ht="13.5" customHeight="1">
      <c r="A95" s="35">
        <v>267024</v>
      </c>
      <c r="B95" s="57">
        <v>39010</v>
      </c>
      <c r="C95" s="60">
        <v>512000</v>
      </c>
      <c r="D95" s="58">
        <f>VLOOKUP(C95,Comptes!$A$2:$B$44,2,FALSE)</f>
        <v>0</v>
      </c>
      <c r="E95" s="59">
        <v>756000</v>
      </c>
      <c r="F95" s="58">
        <f>VLOOKUP(E95,Comptes!$A$2:$B$44,2,FALSE)</f>
        <v>0</v>
      </c>
      <c r="G95" s="59"/>
      <c r="H95" s="59" t="s">
        <v>176</v>
      </c>
      <c r="I95" s="61">
        <v>106</v>
      </c>
      <c r="J95" s="35"/>
      <c r="K95" s="54">
        <f t="shared" si="0"/>
        <v>0</v>
      </c>
      <c r="L95" s="54">
        <f t="shared" si="1"/>
        <v>0</v>
      </c>
    </row>
    <row r="96" spans="1:12" ht="13.5" customHeight="1">
      <c r="A96" s="35">
        <v>267024</v>
      </c>
      <c r="B96" s="57">
        <v>39010</v>
      </c>
      <c r="C96" s="60">
        <v>512000</v>
      </c>
      <c r="D96" s="58">
        <f>VLOOKUP(C96,Comptes!$A$2:$B$44,2,FALSE)</f>
        <v>0</v>
      </c>
      <c r="E96" s="59">
        <v>708000</v>
      </c>
      <c r="F96" s="58">
        <f>VLOOKUP(E96,Comptes!$A$2:$B$44,2,FALSE)</f>
        <v>0</v>
      </c>
      <c r="G96" s="59"/>
      <c r="H96" s="59" t="s">
        <v>176</v>
      </c>
      <c r="I96" s="61">
        <v>36</v>
      </c>
      <c r="J96" s="35"/>
      <c r="K96" s="54">
        <f t="shared" si="0"/>
        <v>0</v>
      </c>
      <c r="L96" s="54">
        <f t="shared" si="1"/>
        <v>0</v>
      </c>
    </row>
    <row r="97" spans="1:12" ht="13.5" customHeight="1">
      <c r="A97" s="35">
        <v>267025</v>
      </c>
      <c r="B97" s="57">
        <v>39016</v>
      </c>
      <c r="C97" s="60">
        <v>512000</v>
      </c>
      <c r="D97" s="58">
        <f>VLOOKUP(C97,Comptes!$A$2:$B$44,2,FALSE)</f>
        <v>0</v>
      </c>
      <c r="E97" s="59">
        <v>754000</v>
      </c>
      <c r="F97" s="58">
        <f>VLOOKUP(E97,Comptes!$A$2:$B$44,2,FALSE)</f>
        <v>0</v>
      </c>
      <c r="G97" s="59" t="s">
        <v>170</v>
      </c>
      <c r="H97" s="59" t="s">
        <v>176</v>
      </c>
      <c r="I97" s="61">
        <v>108</v>
      </c>
      <c r="J97" s="35"/>
      <c r="K97" s="54">
        <f t="shared" si="0"/>
        <v>0</v>
      </c>
      <c r="L97" s="54">
        <f t="shared" si="1"/>
        <v>0</v>
      </c>
    </row>
    <row r="98" spans="1:12" ht="13.5" customHeight="1">
      <c r="A98" s="35">
        <v>267025</v>
      </c>
      <c r="B98" s="57">
        <v>39016</v>
      </c>
      <c r="C98" s="60">
        <v>512000</v>
      </c>
      <c r="D98" s="58">
        <f>VLOOKUP(C98,Comptes!$A$2:$B$44,2,FALSE)</f>
        <v>0</v>
      </c>
      <c r="E98" s="59">
        <v>706230</v>
      </c>
      <c r="F98" s="58">
        <f>VLOOKUP(E98,Comptes!$A$2:$B$44,2,FALSE)</f>
        <v>0</v>
      </c>
      <c r="G98" s="59" t="s">
        <v>170</v>
      </c>
      <c r="H98" s="59" t="s">
        <v>176</v>
      </c>
      <c r="I98" s="61">
        <v>340</v>
      </c>
      <c r="J98" s="35"/>
      <c r="K98" s="54">
        <f t="shared" si="0"/>
        <v>0</v>
      </c>
      <c r="L98" s="54">
        <f t="shared" si="1"/>
        <v>0</v>
      </c>
    </row>
    <row r="99" spans="1:12" ht="13.5" customHeight="1">
      <c r="A99" s="35">
        <v>267025</v>
      </c>
      <c r="B99" s="57">
        <v>39016</v>
      </c>
      <c r="C99" s="60">
        <v>512000</v>
      </c>
      <c r="D99" s="58">
        <f>VLOOKUP(C99,Comptes!$A$2:$B$44,2,FALSE)</f>
        <v>0</v>
      </c>
      <c r="E99" s="59">
        <v>706210</v>
      </c>
      <c r="F99" s="58">
        <f>VLOOKUP(E99,Comptes!$A$2:$B$44,2,FALSE)</f>
        <v>0</v>
      </c>
      <c r="G99" s="59" t="s">
        <v>170</v>
      </c>
      <c r="H99" s="59" t="s">
        <v>176</v>
      </c>
      <c r="I99" s="61">
        <v>112</v>
      </c>
      <c r="J99" s="35"/>
      <c r="K99" s="54">
        <f t="shared" si="0"/>
        <v>0</v>
      </c>
      <c r="L99" s="54">
        <f t="shared" si="1"/>
        <v>0</v>
      </c>
    </row>
    <row r="100" spans="1:12" ht="13.5" customHeight="1">
      <c r="A100" s="35">
        <v>267025</v>
      </c>
      <c r="B100" s="57">
        <v>39016</v>
      </c>
      <c r="C100" s="60">
        <v>512000</v>
      </c>
      <c r="D100" s="58">
        <f>VLOOKUP(C100,Comptes!$A$2:$B$44,2,FALSE)</f>
        <v>0</v>
      </c>
      <c r="E100" s="59">
        <v>706220</v>
      </c>
      <c r="F100" s="58">
        <f>VLOOKUP(E100,Comptes!$A$2:$B$44,2,FALSE)</f>
        <v>0</v>
      </c>
      <c r="G100" s="59" t="s">
        <v>170</v>
      </c>
      <c r="H100" s="59" t="s">
        <v>176</v>
      </c>
      <c r="I100" s="61">
        <v>112</v>
      </c>
      <c r="J100" s="35"/>
      <c r="K100" s="54">
        <f t="shared" si="0"/>
        <v>0</v>
      </c>
      <c r="L100" s="54">
        <f t="shared" si="1"/>
        <v>0</v>
      </c>
    </row>
    <row r="101" spans="1:12" ht="13.5" customHeight="1">
      <c r="A101" s="35">
        <v>267025</v>
      </c>
      <c r="B101" s="57">
        <v>39016</v>
      </c>
      <c r="C101" s="60">
        <v>512000</v>
      </c>
      <c r="D101" s="58">
        <f>VLOOKUP(C101,Comptes!$A$2:$B$44,2,FALSE)</f>
        <v>0</v>
      </c>
      <c r="E101" s="59">
        <v>756000</v>
      </c>
      <c r="F101" s="58">
        <f>VLOOKUP(E101,Comptes!$A$2:$B$44,2,FALSE)</f>
        <v>0</v>
      </c>
      <c r="G101" s="59" t="s">
        <v>170</v>
      </c>
      <c r="H101" s="59" t="s">
        <v>176</v>
      </c>
      <c r="I101" s="61">
        <v>32</v>
      </c>
      <c r="J101" s="35"/>
      <c r="K101" s="54">
        <f t="shared" si="0"/>
        <v>0</v>
      </c>
      <c r="L101" s="54">
        <f t="shared" si="1"/>
        <v>0</v>
      </c>
    </row>
    <row r="102" spans="1:12" ht="13.5" customHeight="1">
      <c r="A102" s="35">
        <v>267025</v>
      </c>
      <c r="B102" s="57">
        <v>39016</v>
      </c>
      <c r="C102" s="60">
        <v>512000</v>
      </c>
      <c r="D102" s="58">
        <f>VLOOKUP(C102,Comptes!$A$2:$B$44,2,FALSE)</f>
        <v>0</v>
      </c>
      <c r="E102" s="59">
        <v>708000</v>
      </c>
      <c r="F102" s="58">
        <f>VLOOKUP(E102,Comptes!$A$2:$B$44,2,FALSE)</f>
        <v>0</v>
      </c>
      <c r="G102" s="59" t="s">
        <v>170</v>
      </c>
      <c r="H102" s="59" t="s">
        <v>176</v>
      </c>
      <c r="I102" s="61">
        <v>9</v>
      </c>
      <c r="J102" s="35"/>
      <c r="K102" s="54">
        <f t="shared" si="0"/>
        <v>0</v>
      </c>
      <c r="L102" s="54">
        <f t="shared" si="1"/>
        <v>0</v>
      </c>
    </row>
    <row r="103" spans="1:12" ht="13.5" customHeight="1">
      <c r="A103" s="35">
        <v>267025</v>
      </c>
      <c r="B103" s="57">
        <v>39016</v>
      </c>
      <c r="C103" s="60">
        <v>511200</v>
      </c>
      <c r="D103" s="58">
        <f>VLOOKUP(C103,Comptes!$A$2:$B$44,2,FALSE)</f>
        <v>0</v>
      </c>
      <c r="E103" s="59">
        <v>512000</v>
      </c>
      <c r="F103" s="58">
        <f>VLOOKUP(E103,Comptes!$A$2:$B$44,2,FALSE)</f>
        <v>0</v>
      </c>
      <c r="G103" s="59" t="s">
        <v>170</v>
      </c>
      <c r="H103" s="59" t="s">
        <v>176</v>
      </c>
      <c r="I103" s="61">
        <v>86</v>
      </c>
      <c r="J103" s="53"/>
      <c r="K103" s="54">
        <f t="shared" si="0"/>
        <v>0</v>
      </c>
      <c r="L103" s="54">
        <f t="shared" si="1"/>
        <v>1</v>
      </c>
    </row>
    <row r="104" spans="1:12" ht="13.5" customHeight="1">
      <c r="A104" s="35">
        <v>267025</v>
      </c>
      <c r="B104" s="57">
        <v>39016</v>
      </c>
      <c r="C104" s="60">
        <v>530000</v>
      </c>
      <c r="D104" s="58">
        <f>VLOOKUP(C104,Comptes!$A$2:$B$44,2,FALSE)</f>
        <v>0</v>
      </c>
      <c r="E104" s="59">
        <v>754000</v>
      </c>
      <c r="F104" s="58">
        <f>VLOOKUP(E104,Comptes!$A$2:$B$44,2,FALSE)</f>
        <v>0</v>
      </c>
      <c r="G104" s="59"/>
      <c r="H104" s="63"/>
      <c r="I104" s="61">
        <v>5</v>
      </c>
      <c r="J104" s="35"/>
      <c r="K104" s="54">
        <f t="shared" si="0"/>
        <v>1</v>
      </c>
      <c r="L104" s="54">
        <f t="shared" si="1"/>
        <v>0</v>
      </c>
    </row>
    <row r="105" spans="1:12" ht="13.5" customHeight="1">
      <c r="A105" s="35">
        <v>267025</v>
      </c>
      <c r="B105" s="57">
        <v>39016</v>
      </c>
      <c r="C105" s="60">
        <v>530000</v>
      </c>
      <c r="D105" s="58">
        <f>VLOOKUP(C105,Comptes!$A$2:$B$44,2,FALSE)</f>
        <v>0</v>
      </c>
      <c r="E105" s="59">
        <v>706230</v>
      </c>
      <c r="F105" s="58">
        <f>VLOOKUP(E105,Comptes!$A$2:$B$44,2,FALSE)</f>
        <v>0</v>
      </c>
      <c r="G105" s="59"/>
      <c r="H105" s="63"/>
      <c r="I105" s="61">
        <v>60</v>
      </c>
      <c r="J105" s="35"/>
      <c r="K105" s="54">
        <f t="shared" si="0"/>
        <v>1</v>
      </c>
      <c r="L105" s="54">
        <f t="shared" si="1"/>
        <v>0</v>
      </c>
    </row>
    <row r="106" spans="1:12" ht="13.5" customHeight="1">
      <c r="A106" s="35">
        <v>267025</v>
      </c>
      <c r="B106" s="57">
        <v>39016</v>
      </c>
      <c r="C106" s="60">
        <v>530000</v>
      </c>
      <c r="D106" s="58">
        <f>VLOOKUP(C106,Comptes!$A$2:$B$44,2,FALSE)</f>
        <v>0</v>
      </c>
      <c r="E106" s="59">
        <v>706210</v>
      </c>
      <c r="F106" s="58">
        <f>VLOOKUP(E106,Comptes!$A$2:$B$44,2,FALSE)</f>
        <v>0</v>
      </c>
      <c r="G106" s="59"/>
      <c r="H106" s="63"/>
      <c r="I106" s="61">
        <v>26</v>
      </c>
      <c r="J106" s="35"/>
      <c r="K106" s="54">
        <f t="shared" si="0"/>
        <v>1</v>
      </c>
      <c r="L106" s="54">
        <f t="shared" si="1"/>
        <v>0</v>
      </c>
    </row>
    <row r="107" spans="1:12" ht="13.5" customHeight="1">
      <c r="A107" s="35">
        <v>267025</v>
      </c>
      <c r="B107" s="57">
        <v>39016</v>
      </c>
      <c r="C107" s="60">
        <v>530000</v>
      </c>
      <c r="D107" s="58">
        <f>VLOOKUP(C107,Comptes!$A$2:$B$44,2,FALSE)</f>
        <v>0</v>
      </c>
      <c r="E107" s="59">
        <v>706220</v>
      </c>
      <c r="F107" s="58">
        <f>VLOOKUP(E107,Comptes!$A$2:$B$44,2,FALSE)</f>
        <v>0</v>
      </c>
      <c r="G107" s="59"/>
      <c r="H107" s="63"/>
      <c r="I107" s="61">
        <v>28</v>
      </c>
      <c r="J107" s="35"/>
      <c r="K107" s="54">
        <f t="shared" si="0"/>
        <v>1</v>
      </c>
      <c r="L107" s="54">
        <f t="shared" si="1"/>
        <v>0</v>
      </c>
    </row>
    <row r="108" spans="1:12" ht="13.5" customHeight="1">
      <c r="A108" s="35">
        <v>267025</v>
      </c>
      <c r="B108" s="57">
        <v>39016</v>
      </c>
      <c r="C108" s="60">
        <v>530000</v>
      </c>
      <c r="D108" s="58">
        <f>VLOOKUP(C108,Comptes!$A$2:$B$44,2,FALSE)</f>
        <v>0</v>
      </c>
      <c r="E108" s="59">
        <v>756000</v>
      </c>
      <c r="F108" s="58">
        <f>VLOOKUP(E108,Comptes!$A$2:$B$44,2,FALSE)</f>
        <v>0</v>
      </c>
      <c r="G108" s="59"/>
      <c r="H108" s="63"/>
      <c r="I108" s="61">
        <v>32</v>
      </c>
      <c r="J108" s="35"/>
      <c r="K108" s="54">
        <f t="shared" si="0"/>
        <v>1</v>
      </c>
      <c r="L108" s="54">
        <f t="shared" si="1"/>
        <v>0</v>
      </c>
    </row>
    <row r="109" spans="1:12" ht="13.5" customHeight="1">
      <c r="A109" s="35">
        <v>267025</v>
      </c>
      <c r="B109" s="57">
        <v>39016</v>
      </c>
      <c r="C109" s="60">
        <v>530000</v>
      </c>
      <c r="D109" s="58">
        <f>VLOOKUP(C109,Comptes!$A$2:$B$44,2,FALSE)</f>
        <v>0</v>
      </c>
      <c r="E109" s="59">
        <v>708000</v>
      </c>
      <c r="F109" s="58">
        <f>VLOOKUP(E109,Comptes!$A$2:$B$44,2,FALSE)</f>
        <v>0</v>
      </c>
      <c r="G109" s="59"/>
      <c r="H109" s="63"/>
      <c r="I109" s="61">
        <v>9</v>
      </c>
      <c r="J109" s="35"/>
      <c r="K109" s="54">
        <f t="shared" si="0"/>
        <v>1</v>
      </c>
      <c r="L109" s="54">
        <f t="shared" si="1"/>
        <v>0</v>
      </c>
    </row>
    <row r="110" spans="1:12" ht="13.5" customHeight="1">
      <c r="A110" s="35">
        <v>267025</v>
      </c>
      <c r="B110" s="57">
        <v>39016</v>
      </c>
      <c r="C110" s="60">
        <v>530000</v>
      </c>
      <c r="D110" s="58">
        <f>VLOOKUP(C110,Comptes!$A$2:$B$44,2,FALSE)</f>
        <v>0</v>
      </c>
      <c r="E110" s="59">
        <v>706230</v>
      </c>
      <c r="F110" s="58">
        <f>VLOOKUP(E110,Comptes!$A$2:$B$44,2,FALSE)</f>
        <v>0</v>
      </c>
      <c r="G110" s="59"/>
      <c r="H110" s="63"/>
      <c r="I110" s="61">
        <v>30</v>
      </c>
      <c r="J110" s="35"/>
      <c r="K110" s="54">
        <f t="shared" si="0"/>
        <v>1</v>
      </c>
      <c r="L110" s="54">
        <f t="shared" si="1"/>
        <v>0</v>
      </c>
    </row>
    <row r="111" spans="1:12" ht="13.5" customHeight="1">
      <c r="A111" s="35">
        <v>267025</v>
      </c>
      <c r="B111" s="57">
        <v>39016</v>
      </c>
      <c r="C111" s="60">
        <v>530000</v>
      </c>
      <c r="D111" s="58">
        <f>VLOOKUP(C111,Comptes!$A$2:$B$44,2,FALSE)</f>
        <v>0</v>
      </c>
      <c r="E111" s="59">
        <v>758000</v>
      </c>
      <c r="F111" s="58">
        <f>VLOOKUP(E111,Comptes!$A$2:$B$44,2,FALSE)</f>
        <v>0</v>
      </c>
      <c r="G111" s="59"/>
      <c r="H111" s="63"/>
      <c r="I111" s="61">
        <v>10</v>
      </c>
      <c r="J111" s="35"/>
      <c r="K111" s="54">
        <f t="shared" si="0"/>
        <v>1</v>
      </c>
      <c r="L111" s="54">
        <f t="shared" si="1"/>
        <v>0</v>
      </c>
    </row>
    <row r="112" spans="1:12" ht="13.5" customHeight="1">
      <c r="A112" s="35">
        <v>267026</v>
      </c>
      <c r="B112" s="57">
        <v>39016</v>
      </c>
      <c r="C112" s="60">
        <v>512000</v>
      </c>
      <c r="D112" s="58">
        <f>VLOOKUP(C112,Comptes!$A$2:$B$44,2,FALSE)</f>
        <v>0</v>
      </c>
      <c r="E112" s="59">
        <v>706230</v>
      </c>
      <c r="F112" s="58">
        <f>VLOOKUP(E112,Comptes!$A$2:$B$44,2,FALSE)</f>
        <v>0</v>
      </c>
      <c r="G112" s="59" t="s">
        <v>170</v>
      </c>
      <c r="H112" s="59" t="s">
        <v>176</v>
      </c>
      <c r="I112" s="61">
        <v>240</v>
      </c>
      <c r="J112" s="35"/>
      <c r="K112" s="54">
        <f t="shared" si="0"/>
        <v>0</v>
      </c>
      <c r="L112" s="54">
        <f t="shared" si="1"/>
        <v>0</v>
      </c>
    </row>
    <row r="113" spans="1:12" ht="13.5" customHeight="1">
      <c r="A113" s="35">
        <v>267026</v>
      </c>
      <c r="B113" s="57">
        <v>39016</v>
      </c>
      <c r="C113" s="60">
        <v>512000</v>
      </c>
      <c r="D113" s="58">
        <f>VLOOKUP(C113,Comptes!$A$2:$B$44,2,FALSE)</f>
        <v>0</v>
      </c>
      <c r="E113" s="59">
        <v>756000</v>
      </c>
      <c r="F113" s="58">
        <f>VLOOKUP(E113,Comptes!$A$2:$B$44,2,FALSE)</f>
        <v>0</v>
      </c>
      <c r="G113" s="59" t="s">
        <v>170</v>
      </c>
      <c r="H113" s="59" t="s">
        <v>176</v>
      </c>
      <c r="I113" s="61">
        <v>42</v>
      </c>
      <c r="J113" s="35"/>
      <c r="K113" s="54">
        <f t="shared" si="0"/>
        <v>0</v>
      </c>
      <c r="L113" s="54">
        <f t="shared" si="1"/>
        <v>0</v>
      </c>
    </row>
    <row r="114" spans="1:12" ht="13.5" customHeight="1">
      <c r="A114" s="35">
        <v>267026</v>
      </c>
      <c r="B114" s="57">
        <v>39016</v>
      </c>
      <c r="C114" s="60">
        <v>530000</v>
      </c>
      <c r="D114" s="58">
        <f>VLOOKUP(C114,Comptes!$A$2:$B$44,2,FALSE)</f>
        <v>0</v>
      </c>
      <c r="E114" s="59">
        <v>754000</v>
      </c>
      <c r="F114" s="58">
        <f>VLOOKUP(E114,Comptes!$A$2:$B$44,2,FALSE)</f>
        <v>0</v>
      </c>
      <c r="G114" s="59"/>
      <c r="H114" s="63"/>
      <c r="I114" s="61">
        <v>3</v>
      </c>
      <c r="J114" s="35"/>
      <c r="K114" s="54">
        <f t="shared" si="0"/>
        <v>1</v>
      </c>
      <c r="L114" s="54">
        <f t="shared" si="1"/>
        <v>0</v>
      </c>
    </row>
    <row r="115" spans="1:12" ht="13.5" customHeight="1">
      <c r="A115" s="35">
        <v>267026</v>
      </c>
      <c r="B115" s="57">
        <v>39016</v>
      </c>
      <c r="C115" s="60">
        <v>530000</v>
      </c>
      <c r="D115" s="58">
        <f>VLOOKUP(C115,Comptes!$A$2:$B$44,2,FALSE)</f>
        <v>0</v>
      </c>
      <c r="E115" s="59">
        <v>706230</v>
      </c>
      <c r="F115" s="58">
        <f>VLOOKUP(E115,Comptes!$A$2:$B$44,2,FALSE)</f>
        <v>0</v>
      </c>
      <c r="G115" s="59"/>
      <c r="H115" s="63"/>
      <c r="I115" s="61">
        <v>90</v>
      </c>
      <c r="J115" s="35"/>
      <c r="K115" s="54">
        <f t="shared" si="0"/>
        <v>1</v>
      </c>
      <c r="L115" s="54">
        <f t="shared" si="1"/>
        <v>0</v>
      </c>
    </row>
    <row r="116" spans="1:12" ht="13.5" customHeight="1">
      <c r="A116" s="35">
        <v>267026</v>
      </c>
      <c r="B116" s="57">
        <v>39016</v>
      </c>
      <c r="C116" s="60">
        <v>530000</v>
      </c>
      <c r="D116" s="58">
        <f>VLOOKUP(C116,Comptes!$A$2:$B$44,2,FALSE)</f>
        <v>0</v>
      </c>
      <c r="E116" s="59">
        <v>756000</v>
      </c>
      <c r="F116" s="58">
        <f>VLOOKUP(E116,Comptes!$A$2:$B$44,2,FALSE)</f>
        <v>0</v>
      </c>
      <c r="G116" s="59"/>
      <c r="H116" s="63"/>
      <c r="I116" s="61">
        <v>42</v>
      </c>
      <c r="J116" s="35"/>
      <c r="K116" s="54">
        <f t="shared" si="0"/>
        <v>1</v>
      </c>
      <c r="L116" s="54">
        <f t="shared" si="1"/>
        <v>0</v>
      </c>
    </row>
    <row r="117" spans="1:12" ht="13.5" customHeight="1">
      <c r="A117" s="35">
        <v>267027</v>
      </c>
      <c r="B117" s="57">
        <v>39017</v>
      </c>
      <c r="C117" s="60">
        <v>606700</v>
      </c>
      <c r="D117" s="58">
        <f>VLOOKUP(C117,Comptes!$A$2:$B$44,2,FALSE)</f>
        <v>0</v>
      </c>
      <c r="E117" s="59">
        <v>530000</v>
      </c>
      <c r="F117" s="58">
        <f>VLOOKUP(E117,Comptes!$A$2:$B$44,2,FALSE)</f>
        <v>0</v>
      </c>
      <c r="G117" s="59"/>
      <c r="H117" s="63"/>
      <c r="I117" s="61">
        <f>25+9.5+10+8.81</f>
        <v>53.31</v>
      </c>
      <c r="J117" s="35"/>
      <c r="K117" s="54">
        <f t="shared" si="0"/>
        <v>1</v>
      </c>
      <c r="L117" s="54">
        <f t="shared" si="1"/>
        <v>0</v>
      </c>
    </row>
    <row r="118" spans="1:12" ht="13.5" customHeight="1">
      <c r="A118" s="35">
        <v>267027</v>
      </c>
      <c r="B118" s="57">
        <v>39017</v>
      </c>
      <c r="C118" s="60">
        <v>606700</v>
      </c>
      <c r="D118" s="58">
        <f>VLOOKUP(C118,Comptes!$A$2:$B$44,2,FALSE)</f>
        <v>0</v>
      </c>
      <c r="E118" s="59">
        <v>512000</v>
      </c>
      <c r="F118" s="58">
        <f>VLOOKUP(E118,Comptes!$A$2:$B$44,2,FALSE)</f>
        <v>0</v>
      </c>
      <c r="G118" s="59" t="s">
        <v>192</v>
      </c>
      <c r="H118" s="59" t="s">
        <v>193</v>
      </c>
      <c r="I118" s="61">
        <v>169.4</v>
      </c>
      <c r="J118" s="35"/>
      <c r="K118" s="54">
        <f t="shared" si="0"/>
        <v>0</v>
      </c>
      <c r="L118" s="54">
        <f t="shared" si="1"/>
        <v>0</v>
      </c>
    </row>
    <row r="119" spans="1:12" ht="13.5" customHeight="1">
      <c r="A119" s="35">
        <v>267027</v>
      </c>
      <c r="B119" s="57">
        <v>39017</v>
      </c>
      <c r="C119" s="60">
        <v>606700</v>
      </c>
      <c r="D119" s="58">
        <f>VLOOKUP(C119,Comptes!$A$2:$B$44,2,FALSE)</f>
        <v>0</v>
      </c>
      <c r="E119" s="59">
        <v>530000</v>
      </c>
      <c r="F119" s="58">
        <f>VLOOKUP(E119,Comptes!$A$2:$B$44,2,FALSE)</f>
        <v>0</v>
      </c>
      <c r="G119" s="59"/>
      <c r="H119" s="63"/>
      <c r="I119" s="61">
        <f>23+10.5+21.85+2.65</f>
        <v>58</v>
      </c>
      <c r="J119" s="35"/>
      <c r="K119" s="54">
        <f t="shared" si="0"/>
        <v>1</v>
      </c>
      <c r="L119" s="54">
        <f t="shared" si="1"/>
        <v>0</v>
      </c>
    </row>
    <row r="120" spans="1:12" ht="13.5" customHeight="1">
      <c r="A120" s="35">
        <v>267028</v>
      </c>
      <c r="B120" s="57">
        <v>39021</v>
      </c>
      <c r="C120" s="60">
        <v>606700</v>
      </c>
      <c r="D120" s="58">
        <f>VLOOKUP(C120,Comptes!$A$2:$B$44,2,FALSE)</f>
        <v>0</v>
      </c>
      <c r="E120" s="59">
        <v>512000</v>
      </c>
      <c r="F120" s="58">
        <f>VLOOKUP(E120,Comptes!$A$2:$B$44,2,FALSE)</f>
        <v>0</v>
      </c>
      <c r="G120" s="59" t="s">
        <v>194</v>
      </c>
      <c r="H120" s="59" t="s">
        <v>193</v>
      </c>
      <c r="I120" s="61">
        <v>180.26</v>
      </c>
      <c r="J120" s="35"/>
      <c r="K120" s="54">
        <f t="shared" si="0"/>
        <v>0</v>
      </c>
      <c r="L120" s="54">
        <f t="shared" si="1"/>
        <v>0</v>
      </c>
    </row>
    <row r="121" spans="1:12" ht="13.5" customHeight="1">
      <c r="A121" s="35">
        <v>267029</v>
      </c>
      <c r="B121" s="57">
        <v>39021</v>
      </c>
      <c r="C121" s="60">
        <v>625000</v>
      </c>
      <c r="D121" s="58">
        <f>VLOOKUP(C121,Comptes!$A$2:$B$44,2,FALSE)</f>
        <v>0</v>
      </c>
      <c r="E121" s="59">
        <v>530000</v>
      </c>
      <c r="F121" s="58">
        <f>VLOOKUP(E121,Comptes!$A$2:$B$44,2,FALSE)</f>
        <v>0</v>
      </c>
      <c r="G121" s="59"/>
      <c r="H121" s="63"/>
      <c r="I121" s="61">
        <v>60</v>
      </c>
      <c r="J121" s="35"/>
      <c r="K121" s="54">
        <f t="shared" si="0"/>
        <v>1</v>
      </c>
      <c r="L121" s="54">
        <f t="shared" si="1"/>
        <v>0</v>
      </c>
    </row>
    <row r="122" spans="1:12" ht="13.5" customHeight="1">
      <c r="A122" s="35">
        <v>267030</v>
      </c>
      <c r="B122" s="57">
        <v>39022</v>
      </c>
      <c r="C122" s="60">
        <v>613100</v>
      </c>
      <c r="D122" s="58">
        <f>VLOOKUP(C122,Comptes!$A$2:$B$44,2,FALSE)</f>
        <v>0</v>
      </c>
      <c r="E122" s="62">
        <v>512000</v>
      </c>
      <c r="F122" s="58">
        <f>VLOOKUP(E122,Comptes!$A$2:$B$44,2,FALSE)</f>
        <v>0</v>
      </c>
      <c r="G122" s="59" t="s">
        <v>195</v>
      </c>
      <c r="H122" s="59" t="s">
        <v>193</v>
      </c>
      <c r="I122" s="61">
        <v>835</v>
      </c>
      <c r="J122" s="66"/>
      <c r="K122" s="54">
        <f t="shared" si="0"/>
        <v>0</v>
      </c>
      <c r="L122" s="54">
        <f t="shared" si="1"/>
        <v>0</v>
      </c>
    </row>
    <row r="123" spans="1:12" ht="13.5" customHeight="1">
      <c r="A123" s="35">
        <v>267030</v>
      </c>
      <c r="B123" s="57">
        <v>39022</v>
      </c>
      <c r="C123" s="60">
        <v>625000</v>
      </c>
      <c r="D123" s="58">
        <f>VLOOKUP(C123,Comptes!$A$2:$B$44,2,FALSE)</f>
        <v>0</v>
      </c>
      <c r="E123" s="62">
        <v>512000</v>
      </c>
      <c r="F123" s="58">
        <f>VLOOKUP(E123,Comptes!$A$2:$B$44,2,FALSE)</f>
        <v>0</v>
      </c>
      <c r="G123" s="59" t="s">
        <v>195</v>
      </c>
      <c r="H123" s="59" t="s">
        <v>193</v>
      </c>
      <c r="I123" s="61">
        <v>80</v>
      </c>
      <c r="J123" s="66"/>
      <c r="K123" s="54">
        <f t="shared" si="0"/>
        <v>0</v>
      </c>
      <c r="L123" s="54">
        <f t="shared" si="1"/>
        <v>0</v>
      </c>
    </row>
    <row r="124" spans="1:12" ht="13.5" customHeight="1">
      <c r="A124" s="35">
        <v>267031</v>
      </c>
      <c r="B124" s="57">
        <v>39023</v>
      </c>
      <c r="C124" s="60">
        <v>606700</v>
      </c>
      <c r="D124" s="58">
        <f>VLOOKUP(C124,Comptes!$A$2:$B$44,2,FALSE)</f>
        <v>0</v>
      </c>
      <c r="E124" s="62">
        <v>512000</v>
      </c>
      <c r="F124" s="58">
        <f>VLOOKUP(E124,Comptes!$A$2:$B$44,2,FALSE)</f>
        <v>0</v>
      </c>
      <c r="G124" s="59" t="s">
        <v>196</v>
      </c>
      <c r="H124" s="59" t="s">
        <v>197</v>
      </c>
      <c r="I124" s="61">
        <v>241.51</v>
      </c>
      <c r="J124" s="66" t="s">
        <v>198</v>
      </c>
      <c r="K124" s="54">
        <f t="shared" si="0"/>
        <v>0</v>
      </c>
      <c r="L124" s="54">
        <f t="shared" si="1"/>
        <v>0</v>
      </c>
    </row>
    <row r="125" spans="1:12" ht="13.5" customHeight="1">
      <c r="A125" s="35">
        <v>267032</v>
      </c>
      <c r="B125" s="57">
        <v>39024</v>
      </c>
      <c r="C125" s="60">
        <v>512000</v>
      </c>
      <c r="D125" s="58">
        <f>VLOOKUP(C125,Comptes!$A$2:$B$44,2,FALSE)</f>
        <v>0</v>
      </c>
      <c r="E125" s="62">
        <v>754000</v>
      </c>
      <c r="F125" s="58">
        <f>VLOOKUP(E125,Comptes!$A$2:$B$44,2,FALSE)</f>
        <v>0</v>
      </c>
      <c r="G125" s="59" t="s">
        <v>170</v>
      </c>
      <c r="H125" s="59" t="s">
        <v>193</v>
      </c>
      <c r="I125" s="61">
        <v>23</v>
      </c>
      <c r="J125" s="66"/>
      <c r="K125" s="54">
        <f t="shared" si="0"/>
        <v>0</v>
      </c>
      <c r="L125" s="54">
        <f t="shared" si="1"/>
        <v>0</v>
      </c>
    </row>
    <row r="126" spans="1:12" ht="13.5" customHeight="1">
      <c r="A126" s="35">
        <v>267032</v>
      </c>
      <c r="B126" s="57">
        <v>39024</v>
      </c>
      <c r="C126" s="60">
        <v>512000</v>
      </c>
      <c r="D126" s="58">
        <f>VLOOKUP(C126,Comptes!$A$2:$B$44,2,FALSE)</f>
        <v>0</v>
      </c>
      <c r="E126" s="62">
        <v>706230</v>
      </c>
      <c r="F126" s="58">
        <f>VLOOKUP(E126,Comptes!$A$2:$B$44,2,FALSE)</f>
        <v>0</v>
      </c>
      <c r="G126" s="59" t="s">
        <v>170</v>
      </c>
      <c r="H126" s="59" t="s">
        <v>193</v>
      </c>
      <c r="I126" s="61">
        <v>1375</v>
      </c>
      <c r="J126" s="66"/>
      <c r="K126" s="54">
        <f t="shared" si="0"/>
        <v>0</v>
      </c>
      <c r="L126" s="54">
        <f t="shared" si="1"/>
        <v>0</v>
      </c>
    </row>
    <row r="127" spans="1:12" ht="13.5" customHeight="1">
      <c r="A127" s="35">
        <v>267032</v>
      </c>
      <c r="B127" s="57">
        <v>39024</v>
      </c>
      <c r="C127" s="60">
        <v>512000</v>
      </c>
      <c r="D127" s="58">
        <f>VLOOKUP(C127,Comptes!$A$2:$B$44,2,FALSE)</f>
        <v>0</v>
      </c>
      <c r="E127" s="62">
        <v>706230</v>
      </c>
      <c r="F127" s="58">
        <f>VLOOKUP(E127,Comptes!$A$2:$B$44,2,FALSE)</f>
        <v>0</v>
      </c>
      <c r="G127" s="59" t="s">
        <v>170</v>
      </c>
      <c r="H127" s="59" t="s">
        <v>193</v>
      </c>
      <c r="I127" s="61">
        <v>25</v>
      </c>
      <c r="J127" s="66" t="s">
        <v>199</v>
      </c>
      <c r="K127" s="54">
        <f t="shared" si="0"/>
        <v>0</v>
      </c>
      <c r="L127" s="54">
        <f t="shared" si="1"/>
        <v>0</v>
      </c>
    </row>
    <row r="128" spans="1:12" ht="13.5" customHeight="1">
      <c r="A128" s="35">
        <v>267032</v>
      </c>
      <c r="B128" s="57">
        <v>39024</v>
      </c>
      <c r="C128" s="60">
        <v>512000</v>
      </c>
      <c r="D128" s="58">
        <f>VLOOKUP(C128,Comptes!$A$2:$B$44,2,FALSE)</f>
        <v>0</v>
      </c>
      <c r="E128" s="62">
        <v>706210</v>
      </c>
      <c r="F128" s="58">
        <f>VLOOKUP(E128,Comptes!$A$2:$B$44,2,FALSE)</f>
        <v>0</v>
      </c>
      <c r="G128" s="59" t="s">
        <v>170</v>
      </c>
      <c r="H128" s="59" t="s">
        <v>193</v>
      </c>
      <c r="I128" s="61">
        <v>408</v>
      </c>
      <c r="J128" s="66"/>
      <c r="K128" s="54">
        <f t="shared" si="0"/>
        <v>0</v>
      </c>
      <c r="L128" s="54">
        <f t="shared" si="1"/>
        <v>0</v>
      </c>
    </row>
    <row r="129" spans="1:12" ht="13.5" customHeight="1">
      <c r="A129" s="35">
        <v>267032</v>
      </c>
      <c r="B129" s="57">
        <v>39024</v>
      </c>
      <c r="C129" s="60">
        <v>512000</v>
      </c>
      <c r="D129" s="58">
        <f>VLOOKUP(C129,Comptes!$A$2:$B$44,2,FALSE)</f>
        <v>0</v>
      </c>
      <c r="E129" s="62">
        <v>706220</v>
      </c>
      <c r="F129" s="58">
        <f>VLOOKUP(E129,Comptes!$A$2:$B$44,2,FALSE)</f>
        <v>0</v>
      </c>
      <c r="G129" s="59" t="s">
        <v>170</v>
      </c>
      <c r="H129" s="59" t="s">
        <v>193</v>
      </c>
      <c r="I129" s="61">
        <v>385</v>
      </c>
      <c r="J129" s="66"/>
      <c r="K129" s="54">
        <f t="shared" si="0"/>
        <v>0</v>
      </c>
      <c r="L129" s="54">
        <f t="shared" si="1"/>
        <v>0</v>
      </c>
    </row>
    <row r="130" spans="1:12" ht="13.5" customHeight="1">
      <c r="A130" s="35">
        <v>267032</v>
      </c>
      <c r="B130" s="57">
        <v>39024</v>
      </c>
      <c r="C130" s="60">
        <v>512000</v>
      </c>
      <c r="D130" s="58">
        <f>VLOOKUP(C130,Comptes!$A$2:$B$44,2,FALSE)</f>
        <v>0</v>
      </c>
      <c r="E130" s="62">
        <v>756000</v>
      </c>
      <c r="F130" s="58">
        <f>VLOOKUP(E130,Comptes!$A$2:$B$44,2,FALSE)</f>
        <v>0</v>
      </c>
      <c r="G130" s="59" t="s">
        <v>170</v>
      </c>
      <c r="H130" s="59" t="s">
        <v>193</v>
      </c>
      <c r="I130" s="61">
        <v>32</v>
      </c>
      <c r="J130" s="66"/>
      <c r="K130" s="54">
        <f t="shared" si="0"/>
        <v>0</v>
      </c>
      <c r="L130" s="54">
        <f t="shared" si="1"/>
        <v>0</v>
      </c>
    </row>
    <row r="131" spans="1:12" ht="13.5" customHeight="1">
      <c r="A131" s="35">
        <v>267032</v>
      </c>
      <c r="B131" s="57">
        <v>39024</v>
      </c>
      <c r="C131" s="60">
        <v>512000</v>
      </c>
      <c r="D131" s="58">
        <f>VLOOKUP(C131,Comptes!$A$2:$B$44,2,FALSE)</f>
        <v>0</v>
      </c>
      <c r="E131" s="62">
        <v>708000</v>
      </c>
      <c r="F131" s="58">
        <f>VLOOKUP(E131,Comptes!$A$2:$B$44,2,FALSE)</f>
        <v>0</v>
      </c>
      <c r="G131" s="59" t="s">
        <v>170</v>
      </c>
      <c r="H131" s="59" t="s">
        <v>193</v>
      </c>
      <c r="I131" s="61">
        <v>9</v>
      </c>
      <c r="J131" s="66"/>
      <c r="K131" s="54">
        <f t="shared" si="0"/>
        <v>0</v>
      </c>
      <c r="L131" s="54">
        <f t="shared" si="1"/>
        <v>0</v>
      </c>
    </row>
    <row r="132" spans="1:12" ht="13.5" customHeight="1">
      <c r="A132" s="35">
        <v>267032</v>
      </c>
      <c r="B132" s="57">
        <v>39024</v>
      </c>
      <c r="C132" s="60">
        <v>530000</v>
      </c>
      <c r="D132" s="58">
        <f>VLOOKUP(C132,Comptes!$A$2:$B$44,2,FALSE)</f>
        <v>0</v>
      </c>
      <c r="E132" s="62">
        <v>706230</v>
      </c>
      <c r="F132" s="58">
        <f>VLOOKUP(E132,Comptes!$A$2:$B$44,2,FALSE)</f>
        <v>0</v>
      </c>
      <c r="G132" s="59"/>
      <c r="H132" s="63"/>
      <c r="I132" s="61">
        <v>60</v>
      </c>
      <c r="J132" s="66"/>
      <c r="K132" s="54">
        <f t="shared" si="0"/>
        <v>1</v>
      </c>
      <c r="L132" s="54">
        <f t="shared" si="1"/>
        <v>0</v>
      </c>
    </row>
    <row r="133" spans="1:12" ht="13.5" customHeight="1">
      <c r="A133" s="35">
        <v>267033</v>
      </c>
      <c r="B133" s="57">
        <v>39025</v>
      </c>
      <c r="C133" s="60">
        <v>512000</v>
      </c>
      <c r="D133" s="58">
        <f>VLOOKUP(C133,Comptes!$A$2:$B$44,2,FALSE)</f>
        <v>0</v>
      </c>
      <c r="E133" s="62">
        <v>706230</v>
      </c>
      <c r="F133" s="58">
        <f>VLOOKUP(E133,Comptes!$A$2:$B$44,2,FALSE)</f>
        <v>0</v>
      </c>
      <c r="G133" s="59" t="s">
        <v>170</v>
      </c>
      <c r="H133" s="59" t="s">
        <v>193</v>
      </c>
      <c r="I133" s="61">
        <v>416</v>
      </c>
      <c r="J133" s="66"/>
      <c r="K133" s="54">
        <f t="shared" si="0"/>
        <v>0</v>
      </c>
      <c r="L133" s="54">
        <f t="shared" si="1"/>
        <v>0</v>
      </c>
    </row>
    <row r="134" spans="1:12" ht="13.5" customHeight="1">
      <c r="A134" s="35">
        <v>267033</v>
      </c>
      <c r="B134" s="57">
        <v>39025</v>
      </c>
      <c r="C134" s="60">
        <v>512000</v>
      </c>
      <c r="D134" s="58">
        <f>VLOOKUP(C134,Comptes!$A$2:$B$44,2,FALSE)</f>
        <v>0</v>
      </c>
      <c r="E134" s="62">
        <v>706210</v>
      </c>
      <c r="F134" s="58">
        <f>VLOOKUP(E134,Comptes!$A$2:$B$44,2,FALSE)</f>
        <v>0</v>
      </c>
      <c r="G134" s="59" t="s">
        <v>170</v>
      </c>
      <c r="H134" s="59" t="s">
        <v>193</v>
      </c>
      <c r="I134" s="61">
        <v>306</v>
      </c>
      <c r="J134" s="66"/>
      <c r="K134" s="54">
        <f t="shared" si="0"/>
        <v>0</v>
      </c>
      <c r="L134" s="54">
        <f t="shared" si="1"/>
        <v>0</v>
      </c>
    </row>
    <row r="135" spans="1:12" ht="13.5" customHeight="1">
      <c r="A135" s="35">
        <v>267033</v>
      </c>
      <c r="B135" s="57">
        <v>39025</v>
      </c>
      <c r="C135" s="60">
        <v>512000</v>
      </c>
      <c r="D135" s="58">
        <f>VLOOKUP(C135,Comptes!$A$2:$B$44,2,FALSE)</f>
        <v>0</v>
      </c>
      <c r="E135" s="62">
        <v>706220</v>
      </c>
      <c r="F135" s="58">
        <f>VLOOKUP(E135,Comptes!$A$2:$B$44,2,FALSE)</f>
        <v>0</v>
      </c>
      <c r="G135" s="59" t="s">
        <v>170</v>
      </c>
      <c r="H135" s="59" t="s">
        <v>193</v>
      </c>
      <c r="I135" s="61">
        <v>336</v>
      </c>
      <c r="J135" s="66"/>
      <c r="K135" s="54">
        <f t="shared" si="0"/>
        <v>0</v>
      </c>
      <c r="L135" s="54">
        <f t="shared" si="1"/>
        <v>0</v>
      </c>
    </row>
    <row r="136" spans="1:12" ht="13.5" customHeight="1">
      <c r="A136" s="35">
        <v>267033</v>
      </c>
      <c r="B136" s="57">
        <v>39025</v>
      </c>
      <c r="C136" s="60">
        <v>512000</v>
      </c>
      <c r="D136" s="58">
        <f>VLOOKUP(C136,Comptes!$A$2:$B$44,2,FALSE)</f>
        <v>0</v>
      </c>
      <c r="E136" s="62">
        <v>756000</v>
      </c>
      <c r="F136" s="58">
        <f>VLOOKUP(E136,Comptes!$A$2:$B$44,2,FALSE)</f>
        <v>0</v>
      </c>
      <c r="G136" s="59" t="s">
        <v>170</v>
      </c>
      <c r="H136" s="59" t="s">
        <v>193</v>
      </c>
      <c r="I136" s="61">
        <v>64</v>
      </c>
      <c r="J136" s="66"/>
      <c r="K136" s="54">
        <f t="shared" si="0"/>
        <v>0</v>
      </c>
      <c r="L136" s="54">
        <f t="shared" si="1"/>
        <v>0</v>
      </c>
    </row>
    <row r="137" spans="1:12" ht="13.5" customHeight="1">
      <c r="A137" s="35">
        <v>267033</v>
      </c>
      <c r="B137" s="57">
        <v>39025</v>
      </c>
      <c r="C137" s="60">
        <v>512000</v>
      </c>
      <c r="D137" s="58">
        <f>VLOOKUP(C137,Comptes!$A$2:$B$44,2,FALSE)</f>
        <v>0</v>
      </c>
      <c r="E137" s="62">
        <v>708000</v>
      </c>
      <c r="F137" s="58">
        <f>VLOOKUP(E137,Comptes!$A$2:$B$44,2,FALSE)</f>
        <v>0</v>
      </c>
      <c r="G137" s="59" t="s">
        <v>170</v>
      </c>
      <c r="H137" s="59" t="s">
        <v>193</v>
      </c>
      <c r="I137" s="61">
        <v>9</v>
      </c>
      <c r="J137" s="66"/>
      <c r="K137" s="54">
        <f t="shared" si="0"/>
        <v>0</v>
      </c>
      <c r="L137" s="54">
        <f t="shared" si="1"/>
        <v>0</v>
      </c>
    </row>
    <row r="138" spans="1:12" ht="13.5" customHeight="1">
      <c r="A138" s="35">
        <v>267033</v>
      </c>
      <c r="B138" s="57">
        <v>39025</v>
      </c>
      <c r="C138" s="60">
        <v>511200</v>
      </c>
      <c r="D138" s="58">
        <f>VLOOKUP(C138,Comptes!$A$2:$B$44,2,FALSE)</f>
        <v>0</v>
      </c>
      <c r="E138" s="62">
        <v>512000</v>
      </c>
      <c r="F138" s="58">
        <f>VLOOKUP(E138,Comptes!$A$2:$B$44,2,FALSE)</f>
        <v>0</v>
      </c>
      <c r="G138" s="59" t="s">
        <v>170</v>
      </c>
      <c r="H138" s="59" t="s">
        <v>193</v>
      </c>
      <c r="I138" s="61">
        <v>111</v>
      </c>
      <c r="J138" s="67"/>
      <c r="K138" s="54">
        <f t="shared" si="0"/>
        <v>0</v>
      </c>
      <c r="L138" s="54">
        <f t="shared" si="1"/>
        <v>1</v>
      </c>
    </row>
    <row r="139" spans="1:12" ht="13.5" customHeight="1">
      <c r="A139" s="35">
        <v>267033</v>
      </c>
      <c r="B139" s="57">
        <v>39025</v>
      </c>
      <c r="C139" s="60">
        <v>512000</v>
      </c>
      <c r="D139" s="58">
        <f>VLOOKUP(C139,Comptes!$A$2:$B$44,2,FALSE)</f>
        <v>0</v>
      </c>
      <c r="E139" s="62">
        <v>756000</v>
      </c>
      <c r="F139" s="58">
        <f>VLOOKUP(E139,Comptes!$A$2:$B$44,2,FALSE)</f>
        <v>0</v>
      </c>
      <c r="G139" s="59" t="s">
        <v>170</v>
      </c>
      <c r="H139" s="59" t="s">
        <v>193</v>
      </c>
      <c r="I139" s="61">
        <v>192</v>
      </c>
      <c r="J139" s="66"/>
      <c r="K139" s="54">
        <f t="shared" si="0"/>
        <v>0</v>
      </c>
      <c r="L139" s="54">
        <f t="shared" si="1"/>
        <v>0</v>
      </c>
    </row>
    <row r="140" spans="1:12" ht="13.5" customHeight="1">
      <c r="A140" s="35">
        <v>267033</v>
      </c>
      <c r="B140" s="57">
        <v>39025</v>
      </c>
      <c r="C140" s="60">
        <v>512000</v>
      </c>
      <c r="D140" s="58">
        <f>VLOOKUP(C140,Comptes!$A$2:$B$44,2,FALSE)</f>
        <v>0</v>
      </c>
      <c r="E140" s="62">
        <v>708000</v>
      </c>
      <c r="F140" s="58">
        <f>VLOOKUP(E140,Comptes!$A$2:$B$44,2,FALSE)</f>
        <v>0</v>
      </c>
      <c r="G140" s="59" t="s">
        <v>170</v>
      </c>
      <c r="H140" s="59" t="s">
        <v>193</v>
      </c>
      <c r="I140" s="61">
        <v>36</v>
      </c>
      <c r="J140" s="66"/>
      <c r="K140" s="54">
        <f t="shared" si="0"/>
        <v>0</v>
      </c>
      <c r="L140" s="54">
        <f t="shared" si="1"/>
        <v>0</v>
      </c>
    </row>
    <row r="141" spans="1:12" ht="13.5" customHeight="1">
      <c r="A141" s="35">
        <v>267033</v>
      </c>
      <c r="B141" s="57">
        <v>39025</v>
      </c>
      <c r="C141" s="60">
        <v>530000</v>
      </c>
      <c r="D141" s="58">
        <f>VLOOKUP(C141,Comptes!$A$2:$B$44,2,FALSE)</f>
        <v>0</v>
      </c>
      <c r="E141" s="62">
        <v>706230</v>
      </c>
      <c r="F141" s="58">
        <f>VLOOKUP(E141,Comptes!$A$2:$B$44,2,FALSE)</f>
        <v>0</v>
      </c>
      <c r="G141" s="59"/>
      <c r="H141" s="63"/>
      <c r="I141" s="61">
        <v>377</v>
      </c>
      <c r="J141" s="66"/>
      <c r="K141" s="54">
        <f t="shared" si="0"/>
        <v>1</v>
      </c>
      <c r="L141" s="54">
        <f t="shared" si="1"/>
        <v>0</v>
      </c>
    </row>
    <row r="142" spans="1:12" ht="13.5" customHeight="1">
      <c r="A142" s="35">
        <v>267033</v>
      </c>
      <c r="B142" s="57">
        <v>39025</v>
      </c>
      <c r="C142" s="60">
        <v>530000</v>
      </c>
      <c r="D142" s="58">
        <f>VLOOKUP(C142,Comptes!$A$2:$B$44,2,FALSE)</f>
        <v>0</v>
      </c>
      <c r="E142" s="62">
        <v>706210</v>
      </c>
      <c r="F142" s="58">
        <f>VLOOKUP(E142,Comptes!$A$2:$B$44,2,FALSE)</f>
        <v>0</v>
      </c>
      <c r="G142" s="59"/>
      <c r="H142" s="63"/>
      <c r="I142" s="61">
        <v>340</v>
      </c>
      <c r="J142" s="66"/>
      <c r="K142" s="54">
        <f t="shared" si="0"/>
        <v>1</v>
      </c>
      <c r="L142" s="54">
        <f t="shared" si="1"/>
        <v>0</v>
      </c>
    </row>
    <row r="143" spans="1:12" ht="13.5" customHeight="1">
      <c r="A143" s="35">
        <v>267033</v>
      </c>
      <c r="B143" s="57">
        <v>39025</v>
      </c>
      <c r="C143" s="60">
        <v>530000</v>
      </c>
      <c r="D143" s="58">
        <f>VLOOKUP(C143,Comptes!$A$2:$B$44,2,FALSE)</f>
        <v>0</v>
      </c>
      <c r="E143" s="62">
        <v>706220</v>
      </c>
      <c r="F143" s="58">
        <f>VLOOKUP(E143,Comptes!$A$2:$B$44,2,FALSE)</f>
        <v>0</v>
      </c>
      <c r="G143" s="59"/>
      <c r="H143" s="63"/>
      <c r="I143" s="61">
        <v>287</v>
      </c>
      <c r="J143" s="66"/>
      <c r="K143" s="54">
        <f t="shared" si="0"/>
        <v>1</v>
      </c>
      <c r="L143" s="54">
        <f t="shared" si="1"/>
        <v>0</v>
      </c>
    </row>
    <row r="144" spans="1:12" ht="13.5" customHeight="1">
      <c r="A144" s="35">
        <v>267033</v>
      </c>
      <c r="B144" s="57">
        <v>39025</v>
      </c>
      <c r="C144" s="60">
        <v>530000</v>
      </c>
      <c r="D144" s="58">
        <f>VLOOKUP(C144,Comptes!$A$2:$B$44,2,FALSE)</f>
        <v>0</v>
      </c>
      <c r="E144" s="62">
        <v>756000</v>
      </c>
      <c r="F144" s="58">
        <f>VLOOKUP(E144,Comptes!$A$2:$B$44,2,FALSE)</f>
        <v>0</v>
      </c>
      <c r="G144" s="59"/>
      <c r="H144" s="63"/>
      <c r="I144" s="61">
        <v>32</v>
      </c>
      <c r="J144" s="66"/>
      <c r="K144" s="54">
        <f t="shared" si="0"/>
        <v>1</v>
      </c>
      <c r="L144" s="54">
        <f t="shared" si="1"/>
        <v>0</v>
      </c>
    </row>
    <row r="145" spans="1:12" ht="13.5" customHeight="1">
      <c r="A145" s="35">
        <v>267033</v>
      </c>
      <c r="B145" s="57">
        <v>39025</v>
      </c>
      <c r="C145" s="60">
        <v>530000</v>
      </c>
      <c r="D145" s="58">
        <f>VLOOKUP(C145,Comptes!$A$2:$B$44,2,FALSE)</f>
        <v>0</v>
      </c>
      <c r="E145" s="62">
        <v>708000</v>
      </c>
      <c r="F145" s="58">
        <f>VLOOKUP(E145,Comptes!$A$2:$B$44,2,FALSE)</f>
        <v>0</v>
      </c>
      <c r="G145" s="59"/>
      <c r="H145" s="63"/>
      <c r="I145" s="61">
        <v>9</v>
      </c>
      <c r="J145" s="66"/>
      <c r="K145" s="54">
        <f t="shared" si="0"/>
        <v>1</v>
      </c>
      <c r="L145" s="54">
        <f t="shared" si="1"/>
        <v>0</v>
      </c>
    </row>
    <row r="146" spans="1:12" ht="13.5" customHeight="1">
      <c r="A146" s="35">
        <v>267034</v>
      </c>
      <c r="B146" s="57">
        <v>39032</v>
      </c>
      <c r="C146" s="60">
        <v>626500</v>
      </c>
      <c r="D146" s="58">
        <f>VLOOKUP(C146,Comptes!$A$2:$B$44,2,FALSE)</f>
        <v>0</v>
      </c>
      <c r="E146" s="59">
        <v>512000</v>
      </c>
      <c r="F146" s="58">
        <f>VLOOKUP(E146,Comptes!$A$2:$B$44,2,FALSE)</f>
        <v>0</v>
      </c>
      <c r="G146" s="59" t="s">
        <v>178</v>
      </c>
      <c r="H146" s="59" t="s">
        <v>193</v>
      </c>
      <c r="I146" s="61">
        <v>165.28</v>
      </c>
      <c r="J146" s="35"/>
      <c r="K146" s="54">
        <f t="shared" si="0"/>
        <v>0</v>
      </c>
      <c r="L146" s="54">
        <f t="shared" si="1"/>
        <v>0</v>
      </c>
    </row>
    <row r="147" spans="1:12" ht="13.5" customHeight="1">
      <c r="A147" s="35">
        <v>267035</v>
      </c>
      <c r="B147" s="57">
        <v>39025</v>
      </c>
      <c r="C147" s="60">
        <v>630000</v>
      </c>
      <c r="D147" s="58">
        <f>VLOOKUP(C147,Comptes!$A$2:$B$44,2,FALSE)</f>
        <v>0</v>
      </c>
      <c r="E147" s="59">
        <v>512000</v>
      </c>
      <c r="F147" s="58">
        <f>VLOOKUP(E147,Comptes!$A$2:$B$44,2,FALSE)</f>
        <v>0</v>
      </c>
      <c r="G147" s="36" t="s">
        <v>200</v>
      </c>
      <c r="H147" s="59" t="s">
        <v>193</v>
      </c>
      <c r="I147" s="61">
        <v>3514</v>
      </c>
      <c r="J147" s="35"/>
      <c r="K147" s="54">
        <f t="shared" si="0"/>
        <v>0</v>
      </c>
      <c r="L147" s="54">
        <f t="shared" si="1"/>
        <v>0</v>
      </c>
    </row>
    <row r="148" spans="1:12" ht="13.5" customHeight="1">
      <c r="A148" s="35">
        <v>267036</v>
      </c>
      <c r="B148" s="57">
        <v>39009</v>
      </c>
      <c r="C148" s="60">
        <v>512000</v>
      </c>
      <c r="D148" s="58">
        <f>VLOOKUP(C148,Comptes!$A$2:$B$44,2,FALSE)</f>
        <v>0</v>
      </c>
      <c r="E148" s="59">
        <v>706100</v>
      </c>
      <c r="F148" s="58">
        <f>VLOOKUP(E148,Comptes!$A$2:$B$44,2,FALSE)</f>
        <v>0</v>
      </c>
      <c r="G148" s="36" t="s">
        <v>170</v>
      </c>
      <c r="H148" s="59" t="s">
        <v>176</v>
      </c>
      <c r="I148" s="61">
        <v>5</v>
      </c>
      <c r="J148" s="35"/>
      <c r="K148" s="54">
        <f t="shared" si="0"/>
        <v>0</v>
      </c>
      <c r="L148" s="54">
        <f t="shared" si="1"/>
        <v>0</v>
      </c>
    </row>
    <row r="149" spans="1:12" ht="13.5" customHeight="1">
      <c r="A149" s="35">
        <v>267036</v>
      </c>
      <c r="B149" s="57">
        <v>39009</v>
      </c>
      <c r="C149" s="60">
        <v>512000</v>
      </c>
      <c r="D149" s="58">
        <f>VLOOKUP(C149,Comptes!$A$2:$B$44,2,FALSE)</f>
        <v>0</v>
      </c>
      <c r="E149" s="59">
        <v>706420</v>
      </c>
      <c r="F149" s="58">
        <f>VLOOKUP(E149,Comptes!$A$2:$B$44,2,FALSE)</f>
        <v>0</v>
      </c>
      <c r="G149" s="36" t="s">
        <v>170</v>
      </c>
      <c r="H149" s="59" t="s">
        <v>176</v>
      </c>
      <c r="I149" s="61">
        <v>775.7</v>
      </c>
      <c r="J149" s="35"/>
      <c r="K149" s="54">
        <f t="shared" si="0"/>
        <v>0</v>
      </c>
      <c r="L149" s="54">
        <f t="shared" si="1"/>
        <v>0</v>
      </c>
    </row>
    <row r="150" spans="1:12" ht="13.5" customHeight="1">
      <c r="A150" s="35">
        <v>267036</v>
      </c>
      <c r="B150" s="57">
        <v>39009</v>
      </c>
      <c r="C150" s="60">
        <v>512000</v>
      </c>
      <c r="D150" s="58">
        <f>VLOOKUP(C150,Comptes!$A$2:$B$44,2,FALSE)</f>
        <v>0</v>
      </c>
      <c r="E150" s="59">
        <v>706100</v>
      </c>
      <c r="F150" s="58">
        <f>VLOOKUP(E150,Comptes!$A$2:$B$44,2,FALSE)</f>
        <v>0</v>
      </c>
      <c r="G150" s="36" t="s">
        <v>164</v>
      </c>
      <c r="H150" s="59" t="s">
        <v>176</v>
      </c>
      <c r="I150" s="61">
        <v>5</v>
      </c>
      <c r="J150" s="35"/>
      <c r="K150" s="54">
        <f t="shared" si="0"/>
        <v>0</v>
      </c>
      <c r="L150" s="54">
        <f t="shared" si="1"/>
        <v>0</v>
      </c>
    </row>
    <row r="151" spans="1:12" ht="13.5" customHeight="1">
      <c r="A151" s="35">
        <v>267036</v>
      </c>
      <c r="B151" s="57">
        <v>39009</v>
      </c>
      <c r="C151" s="60">
        <v>512000</v>
      </c>
      <c r="D151" s="58">
        <f>VLOOKUP(C151,Comptes!$A$2:$B$44,2,FALSE)</f>
        <v>0</v>
      </c>
      <c r="E151" s="59">
        <v>706420</v>
      </c>
      <c r="F151" s="58">
        <f>VLOOKUP(E151,Comptes!$A$2:$B$44,2,FALSE)</f>
        <v>0</v>
      </c>
      <c r="G151" s="36" t="s">
        <v>164</v>
      </c>
      <c r="H151" s="59" t="s">
        <v>176</v>
      </c>
      <c r="I151" s="61">
        <v>90</v>
      </c>
      <c r="J151" s="35"/>
      <c r="K151" s="54">
        <f t="shared" si="0"/>
        <v>0</v>
      </c>
      <c r="L151" s="54">
        <f t="shared" si="1"/>
        <v>0</v>
      </c>
    </row>
    <row r="152" spans="1:12" ht="13.5" customHeight="1">
      <c r="A152" s="35">
        <v>267037</v>
      </c>
      <c r="B152" s="57">
        <v>39006</v>
      </c>
      <c r="C152" s="60">
        <v>512000</v>
      </c>
      <c r="D152" s="58">
        <f>VLOOKUP(C152,Comptes!$A$2:$B$44,2,FALSE)</f>
        <v>0</v>
      </c>
      <c r="E152" s="59">
        <v>754000</v>
      </c>
      <c r="F152" s="58">
        <f>VLOOKUP(E152,Comptes!$A$2:$B$44,2,FALSE)</f>
        <v>0</v>
      </c>
      <c r="G152" s="59" t="s">
        <v>171</v>
      </c>
      <c r="H152" s="59" t="s">
        <v>176</v>
      </c>
      <c r="I152" s="61">
        <v>30</v>
      </c>
      <c r="J152" s="35"/>
      <c r="K152" s="54">
        <f t="shared" si="0"/>
        <v>0</v>
      </c>
      <c r="L152" s="54">
        <f t="shared" si="1"/>
        <v>0</v>
      </c>
    </row>
    <row r="153" spans="1:12" ht="13.5" customHeight="1">
      <c r="A153" s="35">
        <v>267037</v>
      </c>
      <c r="B153" s="57">
        <v>39021</v>
      </c>
      <c r="C153" s="60">
        <v>512000</v>
      </c>
      <c r="D153" s="58">
        <f>VLOOKUP(C153,Comptes!$A$2:$B$44,2,FALSE)</f>
        <v>0</v>
      </c>
      <c r="E153" s="60">
        <v>754000</v>
      </c>
      <c r="F153" s="58">
        <f>VLOOKUP(E153,Comptes!$A$2:$B$44,2,FALSE)</f>
        <v>0</v>
      </c>
      <c r="G153" s="59" t="s">
        <v>171</v>
      </c>
      <c r="H153" s="59" t="s">
        <v>176</v>
      </c>
      <c r="I153" s="61">
        <v>15.15</v>
      </c>
      <c r="J153" s="64"/>
      <c r="K153" s="54">
        <f t="shared" si="0"/>
        <v>0</v>
      </c>
      <c r="L153" s="54">
        <f t="shared" si="1"/>
        <v>0</v>
      </c>
    </row>
    <row r="154" spans="1:12" ht="13.5" customHeight="1">
      <c r="A154" s="35">
        <v>267037</v>
      </c>
      <c r="B154" s="57">
        <v>39007</v>
      </c>
      <c r="C154" s="59">
        <v>512000</v>
      </c>
      <c r="D154" s="58">
        <f>VLOOKUP(C154,Comptes!$A$2:$B$44,2,FALSE)</f>
        <v>0</v>
      </c>
      <c r="E154" s="60">
        <v>754000</v>
      </c>
      <c r="F154" s="58">
        <f>VLOOKUP(E154,Comptes!$A$2:$B$44,2,FALSE)</f>
        <v>0</v>
      </c>
      <c r="G154" s="59" t="s">
        <v>171</v>
      </c>
      <c r="H154" s="59" t="s">
        <v>176</v>
      </c>
      <c r="I154" s="68">
        <v>50</v>
      </c>
      <c r="J154" s="35"/>
      <c r="K154" s="54">
        <f t="shared" si="0"/>
        <v>0</v>
      </c>
      <c r="L154" s="54">
        <f t="shared" si="1"/>
        <v>0</v>
      </c>
    </row>
    <row r="155" spans="1:12" ht="13.5" customHeight="1">
      <c r="A155" s="35">
        <v>267037</v>
      </c>
      <c r="B155" s="57">
        <v>39026</v>
      </c>
      <c r="C155" s="60">
        <v>512000</v>
      </c>
      <c r="D155" s="58">
        <f>VLOOKUP(C155,Comptes!$A$2:$B$44,2,FALSE)</f>
        <v>0</v>
      </c>
      <c r="E155" s="59">
        <v>530000</v>
      </c>
      <c r="F155" s="58">
        <f>VLOOKUP(E155,Comptes!$A$2:$B$44,2,FALSE)</f>
        <v>0</v>
      </c>
      <c r="G155" s="36" t="s">
        <v>164</v>
      </c>
      <c r="H155" s="59" t="s">
        <v>193</v>
      </c>
      <c r="I155" s="61">
        <v>1050</v>
      </c>
      <c r="J155" s="35"/>
      <c r="K155" s="54">
        <f t="shared" si="0"/>
        <v>1</v>
      </c>
      <c r="L155" s="54">
        <f t="shared" si="1"/>
        <v>0</v>
      </c>
    </row>
    <row r="156" spans="1:12" ht="13.5" customHeight="1">
      <c r="A156" s="35">
        <v>267038</v>
      </c>
      <c r="B156" s="57">
        <v>39028</v>
      </c>
      <c r="C156" s="60">
        <v>625000</v>
      </c>
      <c r="D156" s="58">
        <f>VLOOKUP(C156,Comptes!$A$2:$B$44,2,FALSE)</f>
        <v>0</v>
      </c>
      <c r="E156" s="59">
        <v>512000</v>
      </c>
      <c r="F156" s="58">
        <f>VLOOKUP(E156,Comptes!$A$2:$B$44,2,FALSE)</f>
        <v>0</v>
      </c>
      <c r="G156" s="59" t="s">
        <v>201</v>
      </c>
      <c r="H156" s="59" t="s">
        <v>197</v>
      </c>
      <c r="I156" s="61">
        <v>316.08</v>
      </c>
      <c r="J156" s="35"/>
      <c r="K156" s="54">
        <f t="shared" si="0"/>
        <v>0</v>
      </c>
      <c r="L156" s="54">
        <f t="shared" si="1"/>
        <v>0</v>
      </c>
    </row>
    <row r="157" spans="1:12" ht="13.5" customHeight="1">
      <c r="A157" s="35">
        <v>267039</v>
      </c>
      <c r="B157" s="57">
        <v>39028</v>
      </c>
      <c r="C157" s="60">
        <v>606400</v>
      </c>
      <c r="D157" s="58">
        <f>VLOOKUP(C157,Comptes!$A$2:$B$44,2,FALSE)</f>
        <v>0</v>
      </c>
      <c r="E157" s="59">
        <v>530000</v>
      </c>
      <c r="F157" s="58">
        <f>VLOOKUP(E157,Comptes!$A$2:$B$44,2,FALSE)</f>
        <v>0</v>
      </c>
      <c r="H157" s="63"/>
      <c r="I157" s="61">
        <v>260.86</v>
      </c>
      <c r="J157" s="35"/>
      <c r="K157" s="54">
        <f t="shared" si="0"/>
        <v>1</v>
      </c>
      <c r="L157" s="54">
        <f t="shared" si="1"/>
        <v>0</v>
      </c>
    </row>
    <row r="158" spans="1:12" ht="13.5" customHeight="1">
      <c r="A158" s="35">
        <v>267040</v>
      </c>
      <c r="B158" s="57">
        <v>39029</v>
      </c>
      <c r="C158" s="60">
        <v>512000</v>
      </c>
      <c r="D158" s="58">
        <f>VLOOKUP(C158,Comptes!$A$2:$B$44,2,FALSE)</f>
        <v>0</v>
      </c>
      <c r="E158" s="59">
        <v>511200</v>
      </c>
      <c r="F158" s="58">
        <f>VLOOKUP(E158,Comptes!$A$2:$B$44,2,FALSE)</f>
        <v>0</v>
      </c>
      <c r="G158" s="59" t="s">
        <v>170</v>
      </c>
      <c r="H158" s="59" t="s">
        <v>193</v>
      </c>
      <c r="I158" s="61">
        <v>86</v>
      </c>
      <c r="J158" s="53"/>
      <c r="K158" s="54">
        <f t="shared" si="0"/>
        <v>0</v>
      </c>
      <c r="L158" s="54">
        <f t="shared" si="1"/>
        <v>1</v>
      </c>
    </row>
    <row r="159" spans="1:12" ht="13.5" customHeight="1">
      <c r="A159" s="35">
        <v>267040</v>
      </c>
      <c r="B159" s="57">
        <v>39029</v>
      </c>
      <c r="C159" s="60">
        <v>512000</v>
      </c>
      <c r="D159" s="58">
        <f>VLOOKUP(C159,Comptes!$A$2:$B$44,2,FALSE)</f>
        <v>0</v>
      </c>
      <c r="E159" s="59">
        <v>511200</v>
      </c>
      <c r="F159" s="58">
        <f>VLOOKUP(E159,Comptes!$A$2:$B$44,2,FALSE)</f>
        <v>0</v>
      </c>
      <c r="G159" s="59" t="s">
        <v>170</v>
      </c>
      <c r="H159" s="59" t="s">
        <v>193</v>
      </c>
      <c r="I159" s="61">
        <v>111</v>
      </c>
      <c r="J159" s="67"/>
      <c r="K159" s="54">
        <f t="shared" si="0"/>
        <v>0</v>
      </c>
      <c r="L159" s="54">
        <f t="shared" si="1"/>
        <v>1</v>
      </c>
    </row>
    <row r="160" spans="1:12" ht="13.5" customHeight="1">
      <c r="A160" s="35">
        <v>267040</v>
      </c>
      <c r="B160" s="57">
        <v>39029</v>
      </c>
      <c r="C160" s="60">
        <v>512000</v>
      </c>
      <c r="D160" s="58">
        <f>VLOOKUP(C160,Comptes!$A$2:$B$44,2,FALSE)</f>
        <v>0</v>
      </c>
      <c r="E160" s="59">
        <v>706320</v>
      </c>
      <c r="F160" s="58">
        <f>VLOOKUP(E160,Comptes!$A$2:$B$44,2,FALSE)</f>
        <v>0</v>
      </c>
      <c r="G160" s="59" t="s">
        <v>170</v>
      </c>
      <c r="H160" s="59" t="s">
        <v>193</v>
      </c>
      <c r="I160" s="61">
        <v>817.54</v>
      </c>
      <c r="J160" s="66"/>
      <c r="K160" s="54">
        <f t="shared" si="0"/>
        <v>0</v>
      </c>
      <c r="L160" s="54">
        <f t="shared" si="1"/>
        <v>0</v>
      </c>
    </row>
    <row r="161" spans="1:12" ht="13.5" customHeight="1">
      <c r="A161" s="35">
        <v>267040</v>
      </c>
      <c r="B161" s="57">
        <v>39029</v>
      </c>
      <c r="C161" s="60">
        <v>512000</v>
      </c>
      <c r="D161" s="58">
        <f>VLOOKUP(C161,Comptes!$A$2:$B$44,2,FALSE)</f>
        <v>0</v>
      </c>
      <c r="E161" s="59">
        <v>754000</v>
      </c>
      <c r="F161" s="58">
        <f>VLOOKUP(E161,Comptes!$A$2:$B$44,2,FALSE)</f>
        <v>0</v>
      </c>
      <c r="G161" s="59" t="s">
        <v>170</v>
      </c>
      <c r="H161" s="59" t="s">
        <v>193</v>
      </c>
      <c r="I161" s="61">
        <v>150</v>
      </c>
      <c r="J161" s="66"/>
      <c r="K161" s="54">
        <f t="shared" si="0"/>
        <v>0</v>
      </c>
      <c r="L161" s="54">
        <f t="shared" si="1"/>
        <v>0</v>
      </c>
    </row>
    <row r="162" spans="1:12" ht="13.5" customHeight="1">
      <c r="A162" s="35">
        <v>267040</v>
      </c>
      <c r="B162" s="57">
        <v>39029</v>
      </c>
      <c r="C162" s="60">
        <v>512000</v>
      </c>
      <c r="D162" s="58">
        <f>VLOOKUP(C162,Comptes!$A$2:$B$44,2,FALSE)</f>
        <v>0</v>
      </c>
      <c r="E162" s="59">
        <v>756000</v>
      </c>
      <c r="F162" s="58">
        <f>VLOOKUP(E162,Comptes!$A$2:$B$44,2,FALSE)</f>
        <v>0</v>
      </c>
      <c r="G162" s="59" t="s">
        <v>170</v>
      </c>
      <c r="H162" s="59" t="s">
        <v>193</v>
      </c>
      <c r="I162" s="61">
        <v>32</v>
      </c>
      <c r="J162" s="66"/>
      <c r="K162" s="54">
        <f t="shared" si="0"/>
        <v>0</v>
      </c>
      <c r="L162" s="54">
        <f t="shared" si="1"/>
        <v>0</v>
      </c>
    </row>
    <row r="163" spans="1:12" ht="13.5" customHeight="1">
      <c r="A163" s="35">
        <v>267040</v>
      </c>
      <c r="B163" s="57">
        <v>39029</v>
      </c>
      <c r="C163" s="60">
        <v>512000</v>
      </c>
      <c r="D163" s="58">
        <f>VLOOKUP(C163,Comptes!$A$2:$B$44,2,FALSE)</f>
        <v>0</v>
      </c>
      <c r="E163" s="59">
        <v>708000</v>
      </c>
      <c r="F163" s="58">
        <f>VLOOKUP(E163,Comptes!$A$2:$B$44,2,FALSE)</f>
        <v>0</v>
      </c>
      <c r="G163" s="59" t="s">
        <v>170</v>
      </c>
      <c r="H163" s="59" t="s">
        <v>193</v>
      </c>
      <c r="I163" s="61">
        <v>9</v>
      </c>
      <c r="J163" s="66"/>
      <c r="K163" s="54">
        <f t="shared" si="0"/>
        <v>0</v>
      </c>
      <c r="L163" s="54">
        <f t="shared" si="1"/>
        <v>0</v>
      </c>
    </row>
    <row r="164" spans="1:12" ht="13.5" customHeight="1">
      <c r="A164" s="35">
        <v>267041</v>
      </c>
      <c r="B164" s="57">
        <v>39030</v>
      </c>
      <c r="C164" s="60">
        <v>512000</v>
      </c>
      <c r="D164" s="58">
        <f>VLOOKUP(C164,Comptes!$A$2:$B$44,2,FALSE)</f>
        <v>0</v>
      </c>
      <c r="E164" s="59">
        <v>706100</v>
      </c>
      <c r="F164" s="58">
        <f>VLOOKUP(E164,Comptes!$A$2:$B$44,2,FALSE)</f>
        <v>0</v>
      </c>
      <c r="G164" s="36" t="s">
        <v>170</v>
      </c>
      <c r="H164" s="59" t="s">
        <v>193</v>
      </c>
      <c r="I164" s="61">
        <v>205</v>
      </c>
      <c r="J164" s="35"/>
      <c r="K164" s="54">
        <f t="shared" si="0"/>
        <v>0</v>
      </c>
      <c r="L164" s="54">
        <f t="shared" si="1"/>
        <v>0</v>
      </c>
    </row>
    <row r="165" spans="1:12" ht="13.5" customHeight="1">
      <c r="A165" s="35">
        <v>267041</v>
      </c>
      <c r="B165" s="57">
        <v>39030</v>
      </c>
      <c r="C165" s="60">
        <v>512000</v>
      </c>
      <c r="D165" s="58">
        <f>VLOOKUP(C165,Comptes!$A$2:$B$44,2,FALSE)</f>
        <v>0</v>
      </c>
      <c r="E165" s="59">
        <v>706420</v>
      </c>
      <c r="F165" s="58">
        <f>VLOOKUP(E165,Comptes!$A$2:$B$44,2,FALSE)</f>
        <v>0</v>
      </c>
      <c r="G165" s="36" t="s">
        <v>170</v>
      </c>
      <c r="H165" s="59" t="s">
        <v>193</v>
      </c>
      <c r="I165" s="61">
        <v>415</v>
      </c>
      <c r="J165" s="35"/>
      <c r="K165" s="54">
        <f t="shared" si="0"/>
        <v>0</v>
      </c>
      <c r="L165" s="54">
        <f t="shared" si="1"/>
        <v>0</v>
      </c>
    </row>
    <row r="166" spans="1:12" ht="13.5" customHeight="1">
      <c r="A166" s="35">
        <v>267041</v>
      </c>
      <c r="B166" s="57">
        <v>39030</v>
      </c>
      <c r="C166" s="60">
        <v>512000</v>
      </c>
      <c r="D166" s="58">
        <f>VLOOKUP(C166,Comptes!$A$2:$B$44,2,FALSE)</f>
        <v>0</v>
      </c>
      <c r="E166" s="59">
        <v>756000</v>
      </c>
      <c r="F166" s="58">
        <f>VLOOKUP(E166,Comptes!$A$2:$B$44,2,FALSE)</f>
        <v>0</v>
      </c>
      <c r="G166" s="36" t="s">
        <v>170</v>
      </c>
      <c r="H166" s="59" t="s">
        <v>193</v>
      </c>
      <c r="I166" s="61">
        <f>32+32</f>
        <v>64</v>
      </c>
      <c r="J166" s="35"/>
      <c r="K166" s="54">
        <f t="shared" si="0"/>
        <v>0</v>
      </c>
      <c r="L166" s="54">
        <f t="shared" si="1"/>
        <v>0</v>
      </c>
    </row>
    <row r="167" spans="1:12" ht="13.5" customHeight="1">
      <c r="A167" s="35">
        <v>267041</v>
      </c>
      <c r="B167" s="57">
        <v>39030</v>
      </c>
      <c r="C167" s="60">
        <v>512000</v>
      </c>
      <c r="D167" s="58">
        <f>VLOOKUP(C167,Comptes!$A$2:$B$44,2,FALSE)</f>
        <v>0</v>
      </c>
      <c r="E167" s="59">
        <v>754000</v>
      </c>
      <c r="F167" s="58">
        <f>VLOOKUP(E167,Comptes!$A$2:$B$44,2,FALSE)</f>
        <v>0</v>
      </c>
      <c r="G167" s="36" t="s">
        <v>170</v>
      </c>
      <c r="H167" s="59" t="s">
        <v>193</v>
      </c>
      <c r="I167" s="61">
        <v>20</v>
      </c>
      <c r="J167" s="35"/>
      <c r="K167" s="54">
        <f t="shared" si="0"/>
        <v>0</v>
      </c>
      <c r="L167" s="54">
        <f t="shared" si="1"/>
        <v>0</v>
      </c>
    </row>
    <row r="168" spans="1:12" ht="13.5" customHeight="1">
      <c r="A168" s="35">
        <v>267041</v>
      </c>
      <c r="B168" s="57">
        <v>39030</v>
      </c>
      <c r="C168" s="60">
        <v>512000</v>
      </c>
      <c r="D168" s="58">
        <f>VLOOKUP(C168,Comptes!$A$2:$B$44,2,FALSE)</f>
        <v>0</v>
      </c>
      <c r="E168" s="59">
        <v>706100</v>
      </c>
      <c r="F168" s="58">
        <f>VLOOKUP(E168,Comptes!$A$2:$B$44,2,FALSE)</f>
        <v>0</v>
      </c>
      <c r="G168" s="36" t="s">
        <v>164</v>
      </c>
      <c r="H168" s="59" t="s">
        <v>193</v>
      </c>
      <c r="I168" s="61">
        <v>30</v>
      </c>
      <c r="J168" s="35"/>
      <c r="K168" s="54">
        <f t="shared" si="0"/>
        <v>0</v>
      </c>
      <c r="L168" s="54">
        <f t="shared" si="1"/>
        <v>0</v>
      </c>
    </row>
    <row r="169" spans="1:12" ht="13.5" customHeight="1">
      <c r="A169" s="35">
        <v>267041</v>
      </c>
      <c r="B169" s="57">
        <v>39030</v>
      </c>
      <c r="C169" s="60">
        <v>512000</v>
      </c>
      <c r="D169" s="58">
        <f>VLOOKUP(C169,Comptes!$A$2:$B$44,2,FALSE)</f>
        <v>0</v>
      </c>
      <c r="E169" s="59">
        <v>706420</v>
      </c>
      <c r="F169" s="58">
        <f>VLOOKUP(E169,Comptes!$A$2:$B$44,2,FALSE)</f>
        <v>0</v>
      </c>
      <c r="G169" s="36" t="s">
        <v>164</v>
      </c>
      <c r="H169" s="59" t="s">
        <v>193</v>
      </c>
      <c r="I169" s="61">
        <v>45</v>
      </c>
      <c r="J169" s="35"/>
      <c r="K169" s="54">
        <f t="shared" si="0"/>
        <v>0</v>
      </c>
      <c r="L169" s="54">
        <f t="shared" si="1"/>
        <v>0</v>
      </c>
    </row>
    <row r="170" spans="1:12" ht="13.5" customHeight="1">
      <c r="A170" s="35">
        <v>267042</v>
      </c>
      <c r="B170" s="57">
        <v>39031</v>
      </c>
      <c r="C170" s="60">
        <v>613200</v>
      </c>
      <c r="D170" s="58">
        <f>VLOOKUP(C170,Comptes!$A$2:$B$44,2,FALSE)</f>
        <v>0</v>
      </c>
      <c r="E170" s="59">
        <v>512000</v>
      </c>
      <c r="F170" s="58">
        <f>VLOOKUP(E170,Comptes!$A$2:$B$44,2,FALSE)</f>
        <v>0</v>
      </c>
      <c r="G170" s="59" t="s">
        <v>178</v>
      </c>
      <c r="H170" s="59" t="s">
        <v>193</v>
      </c>
      <c r="I170" s="61">
        <v>972.01</v>
      </c>
      <c r="J170" s="64" t="s">
        <v>202</v>
      </c>
      <c r="K170" s="54">
        <f t="shared" si="0"/>
        <v>0</v>
      </c>
      <c r="L170" s="54">
        <f t="shared" si="1"/>
        <v>0</v>
      </c>
    </row>
    <row r="171" spans="1:12" ht="13.5" customHeight="1">
      <c r="A171" s="35">
        <v>267043</v>
      </c>
      <c r="B171" s="57">
        <v>39034</v>
      </c>
      <c r="C171" s="60">
        <v>626500</v>
      </c>
      <c r="D171" s="58">
        <f>VLOOKUP(C171,Comptes!$A$2:$B$44,2,FALSE)</f>
        <v>0</v>
      </c>
      <c r="E171" s="59">
        <v>512000</v>
      </c>
      <c r="F171" s="58">
        <f>VLOOKUP(E171,Comptes!$A$2:$B$44,2,FALSE)</f>
        <v>0</v>
      </c>
      <c r="G171" s="36" t="s">
        <v>178</v>
      </c>
      <c r="H171" s="59" t="s">
        <v>193</v>
      </c>
      <c r="I171" s="61">
        <v>19.9</v>
      </c>
      <c r="J171" s="35" t="s">
        <v>184</v>
      </c>
      <c r="K171" s="54">
        <f t="shared" si="0"/>
        <v>0</v>
      </c>
      <c r="L171" s="54">
        <f t="shared" si="1"/>
        <v>0</v>
      </c>
    </row>
    <row r="172" spans="1:12" ht="13.5" customHeight="1">
      <c r="A172" s="65">
        <v>256173</v>
      </c>
      <c r="B172" s="57">
        <v>39034</v>
      </c>
      <c r="C172" s="60">
        <v>606110</v>
      </c>
      <c r="D172" s="58">
        <f>VLOOKUP(C172,Comptes!$A$2:$B$44,2,FALSE)</f>
        <v>0</v>
      </c>
      <c r="E172" s="59">
        <v>512000</v>
      </c>
      <c r="F172" s="58">
        <f>VLOOKUP(E172,Comptes!$A$2:$B$44,2,FALSE)</f>
        <v>0</v>
      </c>
      <c r="G172" s="36" t="s">
        <v>178</v>
      </c>
      <c r="H172" s="59" t="s">
        <v>193</v>
      </c>
      <c r="I172" s="37">
        <v>147</v>
      </c>
      <c r="J172" s="35" t="s">
        <v>181</v>
      </c>
      <c r="K172" s="54">
        <f t="shared" si="0"/>
        <v>0</v>
      </c>
      <c r="L172" s="54">
        <f t="shared" si="1"/>
        <v>0</v>
      </c>
    </row>
    <row r="173" spans="1:12" ht="13.5" customHeight="1">
      <c r="A173" s="35">
        <v>267044</v>
      </c>
      <c r="B173" s="57">
        <v>39037</v>
      </c>
      <c r="C173" s="60">
        <v>606700</v>
      </c>
      <c r="D173" s="58">
        <f>VLOOKUP(C173,Comptes!$A$2:$B$44,2,FALSE)</f>
        <v>0</v>
      </c>
      <c r="E173" s="59">
        <v>530000</v>
      </c>
      <c r="F173" s="58">
        <f>VLOOKUP(E173,Comptes!$A$2:$B$44,2,FALSE)</f>
        <v>0</v>
      </c>
      <c r="G173" s="59"/>
      <c r="H173" s="63"/>
      <c r="I173" s="61">
        <v>4</v>
      </c>
      <c r="J173" s="66"/>
      <c r="K173" s="54">
        <f t="shared" si="0"/>
        <v>1</v>
      </c>
      <c r="L173" s="54">
        <f t="shared" si="1"/>
        <v>0</v>
      </c>
    </row>
    <row r="174" spans="1:12" ht="13.5" customHeight="1">
      <c r="A174" s="35">
        <v>267044</v>
      </c>
      <c r="B174" s="57">
        <v>39037</v>
      </c>
      <c r="C174" s="60">
        <v>606150</v>
      </c>
      <c r="D174" s="58">
        <f>VLOOKUP(C174,Comptes!$A$2:$B$44,2,FALSE)</f>
        <v>0</v>
      </c>
      <c r="E174" s="59">
        <v>512000</v>
      </c>
      <c r="F174" s="58">
        <f>VLOOKUP(E174,Comptes!$A$2:$B$44,2,FALSE)</f>
        <v>0</v>
      </c>
      <c r="G174" s="59" t="s">
        <v>203</v>
      </c>
      <c r="H174" s="59" t="s">
        <v>197</v>
      </c>
      <c r="I174" s="61">
        <v>22.9</v>
      </c>
      <c r="J174" s="66" t="s">
        <v>204</v>
      </c>
      <c r="K174" s="54">
        <f t="shared" si="0"/>
        <v>0</v>
      </c>
      <c r="L174" s="54">
        <f t="shared" si="1"/>
        <v>0</v>
      </c>
    </row>
    <row r="175" spans="1:12" ht="13.5" customHeight="1">
      <c r="A175" s="35">
        <v>267044</v>
      </c>
      <c r="B175" s="57">
        <v>39037</v>
      </c>
      <c r="C175" s="60">
        <v>606700</v>
      </c>
      <c r="D175" s="58">
        <f>VLOOKUP(C175,Comptes!$A$2:$B$44,2,FALSE)</f>
        <v>0</v>
      </c>
      <c r="E175" s="59">
        <v>512000</v>
      </c>
      <c r="F175" s="58">
        <f>VLOOKUP(E175,Comptes!$A$2:$B$44,2,FALSE)</f>
        <v>0</v>
      </c>
      <c r="G175" s="59" t="s">
        <v>205</v>
      </c>
      <c r="H175" s="59" t="s">
        <v>197</v>
      </c>
      <c r="I175" s="61">
        <v>164.59</v>
      </c>
      <c r="J175" s="66"/>
      <c r="K175" s="54">
        <f t="shared" si="0"/>
        <v>0</v>
      </c>
      <c r="L175" s="54">
        <f t="shared" si="1"/>
        <v>0</v>
      </c>
    </row>
    <row r="176" spans="1:12" ht="13.5" customHeight="1">
      <c r="A176" s="35">
        <v>267044</v>
      </c>
      <c r="B176" s="57">
        <v>39037</v>
      </c>
      <c r="C176" s="60">
        <v>606700</v>
      </c>
      <c r="D176" s="58">
        <f>VLOOKUP(C176,Comptes!$A$2:$B$44,2,FALSE)</f>
        <v>0</v>
      </c>
      <c r="E176" s="59">
        <v>530000</v>
      </c>
      <c r="F176" s="58">
        <f>VLOOKUP(E176,Comptes!$A$2:$B$44,2,FALSE)</f>
        <v>0</v>
      </c>
      <c r="G176" s="59"/>
      <c r="H176" s="63"/>
      <c r="I176" s="61">
        <v>28.3</v>
      </c>
      <c r="J176" s="66"/>
      <c r="K176" s="54">
        <f t="shared" si="0"/>
        <v>1</v>
      </c>
      <c r="L176" s="54">
        <f t="shared" si="1"/>
        <v>0</v>
      </c>
    </row>
    <row r="177" spans="1:12" ht="13.5" customHeight="1">
      <c r="A177" s="35">
        <v>267045</v>
      </c>
      <c r="B177" s="57">
        <v>39040</v>
      </c>
      <c r="C177" s="60">
        <v>512000</v>
      </c>
      <c r="D177" s="58">
        <f>VLOOKUP(C177,Comptes!$A$2:$B$44,2,FALSE)</f>
        <v>0</v>
      </c>
      <c r="E177" s="59">
        <v>706100</v>
      </c>
      <c r="F177" s="58">
        <f>VLOOKUP(E177,Comptes!$A$2:$B$44,2,FALSE)</f>
        <v>0</v>
      </c>
      <c r="G177" s="36" t="s">
        <v>170</v>
      </c>
      <c r="H177" s="59" t="s">
        <v>197</v>
      </c>
      <c r="I177" s="61">
        <v>80</v>
      </c>
      <c r="J177" s="66"/>
      <c r="K177" s="54">
        <f t="shared" si="0"/>
        <v>0</v>
      </c>
      <c r="L177" s="54">
        <f t="shared" si="1"/>
        <v>0</v>
      </c>
    </row>
    <row r="178" spans="1:12" ht="13.5" customHeight="1">
      <c r="A178" s="35">
        <v>267045</v>
      </c>
      <c r="B178" s="57">
        <v>39040</v>
      </c>
      <c r="C178" s="60">
        <v>512000</v>
      </c>
      <c r="D178" s="58">
        <f>VLOOKUP(C178,Comptes!$A$2:$B$44,2,FALSE)</f>
        <v>0</v>
      </c>
      <c r="E178" s="59">
        <v>754000</v>
      </c>
      <c r="F178" s="58">
        <f>VLOOKUP(E178,Comptes!$A$2:$B$44,2,FALSE)</f>
        <v>0</v>
      </c>
      <c r="G178" s="36" t="s">
        <v>170</v>
      </c>
      <c r="H178" s="59" t="s">
        <v>197</v>
      </c>
      <c r="I178" s="61">
        <v>51</v>
      </c>
      <c r="J178" s="66"/>
      <c r="K178" s="54">
        <f t="shared" si="0"/>
        <v>0</v>
      </c>
      <c r="L178" s="54">
        <f t="shared" si="1"/>
        <v>0</v>
      </c>
    </row>
    <row r="179" spans="1:12" ht="13.5" customHeight="1">
      <c r="A179" s="35">
        <v>267045</v>
      </c>
      <c r="B179" s="57">
        <v>39040</v>
      </c>
      <c r="C179" s="60">
        <v>512000</v>
      </c>
      <c r="D179" s="58">
        <f>VLOOKUP(C179,Comptes!$A$2:$B$44,2,FALSE)</f>
        <v>0</v>
      </c>
      <c r="E179" s="59">
        <v>756000</v>
      </c>
      <c r="F179" s="58">
        <f>VLOOKUP(E179,Comptes!$A$2:$B$44,2,FALSE)</f>
        <v>0</v>
      </c>
      <c r="G179" s="36" t="s">
        <v>170</v>
      </c>
      <c r="H179" s="59" t="s">
        <v>197</v>
      </c>
      <c r="I179" s="61">
        <v>427</v>
      </c>
      <c r="J179" s="66"/>
      <c r="K179" s="54">
        <f t="shared" si="0"/>
        <v>0</v>
      </c>
      <c r="L179" s="54">
        <f t="shared" si="1"/>
        <v>0</v>
      </c>
    </row>
    <row r="180" spans="1:12" ht="13.5" customHeight="1">
      <c r="A180" s="35">
        <v>267045</v>
      </c>
      <c r="B180" s="57">
        <v>39040</v>
      </c>
      <c r="C180" s="60">
        <v>512000</v>
      </c>
      <c r="D180" s="58">
        <f>VLOOKUP(C180,Comptes!$A$2:$B$44,2,FALSE)</f>
        <v>0</v>
      </c>
      <c r="E180" s="59">
        <v>708000</v>
      </c>
      <c r="F180" s="58">
        <f>VLOOKUP(E180,Comptes!$A$2:$B$44,2,FALSE)</f>
        <v>0</v>
      </c>
      <c r="G180" s="36" t="s">
        <v>170</v>
      </c>
      <c r="H180" s="59" t="s">
        <v>197</v>
      </c>
      <c r="I180" s="61">
        <v>108</v>
      </c>
      <c r="J180" s="66"/>
      <c r="K180" s="54">
        <f t="shared" si="0"/>
        <v>0</v>
      </c>
      <c r="L180" s="54">
        <f t="shared" si="1"/>
        <v>0</v>
      </c>
    </row>
    <row r="181" spans="1:12" ht="13.5" customHeight="1">
      <c r="A181" s="35">
        <v>267045</v>
      </c>
      <c r="B181" s="57">
        <v>39040</v>
      </c>
      <c r="C181" s="60">
        <v>530000</v>
      </c>
      <c r="D181" s="58">
        <f>VLOOKUP(C181,Comptes!$A$2:$B$44,2,FALSE)</f>
        <v>0</v>
      </c>
      <c r="E181" s="59">
        <v>706230</v>
      </c>
      <c r="F181" s="58">
        <f>VLOOKUP(E181,Comptes!$A$2:$B$44,2,FALSE)</f>
        <v>0</v>
      </c>
      <c r="H181" s="63"/>
      <c r="I181" s="61">
        <v>46.4</v>
      </c>
      <c r="J181" s="66"/>
      <c r="K181" s="54">
        <f t="shared" si="0"/>
        <v>1</v>
      </c>
      <c r="L181" s="54">
        <f t="shared" si="1"/>
        <v>0</v>
      </c>
    </row>
    <row r="182" spans="1:12" ht="13.5" customHeight="1">
      <c r="A182" s="35">
        <v>267046</v>
      </c>
      <c r="B182" s="57">
        <v>39040</v>
      </c>
      <c r="C182" s="60">
        <v>622600</v>
      </c>
      <c r="D182" s="58">
        <f>VLOOKUP(C182,Comptes!$A$2:$B$44,2,FALSE)</f>
        <v>0</v>
      </c>
      <c r="E182" s="59">
        <v>512000</v>
      </c>
      <c r="F182" s="58">
        <f>VLOOKUP(E182,Comptes!$A$2:$B$44,2,FALSE)</f>
        <v>0</v>
      </c>
      <c r="G182" s="59" t="s">
        <v>206</v>
      </c>
      <c r="H182" s="59" t="s">
        <v>197</v>
      </c>
      <c r="I182" s="61">
        <v>380</v>
      </c>
      <c r="J182" s="66" t="s">
        <v>207</v>
      </c>
      <c r="K182" s="54">
        <f t="shared" si="0"/>
        <v>0</v>
      </c>
      <c r="L182" s="54">
        <f t="shared" si="1"/>
        <v>0</v>
      </c>
    </row>
    <row r="183" spans="1:12" ht="13.5" customHeight="1">
      <c r="A183" s="35">
        <v>267047</v>
      </c>
      <c r="B183" s="57">
        <v>39044</v>
      </c>
      <c r="C183" s="60">
        <v>512000</v>
      </c>
      <c r="D183" s="58">
        <f>VLOOKUP(C183,Comptes!$A$2:$B$44,2,FALSE)</f>
        <v>0</v>
      </c>
      <c r="E183" s="59">
        <v>706100</v>
      </c>
      <c r="F183" s="58">
        <f>VLOOKUP(E183,Comptes!$A$2:$B$44,2,FALSE)</f>
        <v>0</v>
      </c>
      <c r="G183" s="59" t="s">
        <v>170</v>
      </c>
      <c r="H183" s="59" t="s">
        <v>197</v>
      </c>
      <c r="I183" s="61">
        <v>190</v>
      </c>
      <c r="J183" s="66"/>
      <c r="K183" s="54">
        <f t="shared" si="0"/>
        <v>0</v>
      </c>
      <c r="L183" s="54">
        <f t="shared" si="1"/>
        <v>0</v>
      </c>
    </row>
    <row r="184" spans="1:12" ht="13.5" customHeight="1">
      <c r="A184" s="35">
        <v>267047</v>
      </c>
      <c r="B184" s="57">
        <v>39044</v>
      </c>
      <c r="C184" s="60">
        <v>512000</v>
      </c>
      <c r="D184" s="58">
        <f>VLOOKUP(C184,Comptes!$A$2:$B$44,2,FALSE)</f>
        <v>0</v>
      </c>
      <c r="E184" s="59">
        <v>706420</v>
      </c>
      <c r="F184" s="58">
        <f>VLOOKUP(E184,Comptes!$A$2:$B$44,2,FALSE)</f>
        <v>0</v>
      </c>
      <c r="G184" s="59" t="s">
        <v>170</v>
      </c>
      <c r="H184" s="59" t="s">
        <v>197</v>
      </c>
      <c r="I184" s="61">
        <v>535</v>
      </c>
      <c r="J184" s="66"/>
      <c r="K184" s="54">
        <f t="shared" si="0"/>
        <v>0</v>
      </c>
      <c r="L184" s="54">
        <f t="shared" si="1"/>
        <v>0</v>
      </c>
    </row>
    <row r="185" spans="1:12" ht="13.5" customHeight="1">
      <c r="A185" s="35">
        <v>267047</v>
      </c>
      <c r="B185" s="57">
        <v>39044</v>
      </c>
      <c r="C185" s="60">
        <v>512000</v>
      </c>
      <c r="D185" s="58">
        <f>VLOOKUP(C185,Comptes!$A$2:$B$44,2,FALSE)</f>
        <v>0</v>
      </c>
      <c r="E185" s="59">
        <v>756000</v>
      </c>
      <c r="F185" s="58">
        <f>VLOOKUP(E185,Comptes!$A$2:$B$44,2,FALSE)</f>
        <v>0</v>
      </c>
      <c r="G185" s="59" t="s">
        <v>170</v>
      </c>
      <c r="H185" s="59" t="s">
        <v>197</v>
      </c>
      <c r="I185" s="61">
        <v>64</v>
      </c>
      <c r="J185" s="66"/>
      <c r="K185" s="54">
        <f t="shared" si="0"/>
        <v>0</v>
      </c>
      <c r="L185" s="54">
        <f t="shared" si="1"/>
        <v>0</v>
      </c>
    </row>
    <row r="186" spans="1:12" ht="13.5" customHeight="1">
      <c r="A186" s="35">
        <v>267047</v>
      </c>
      <c r="B186" s="57">
        <v>39044</v>
      </c>
      <c r="C186" s="60">
        <v>512000</v>
      </c>
      <c r="D186" s="58">
        <f>VLOOKUP(C186,Comptes!$A$2:$B$44,2,FALSE)</f>
        <v>0</v>
      </c>
      <c r="E186" s="59">
        <v>706100</v>
      </c>
      <c r="F186" s="58">
        <f>VLOOKUP(E186,Comptes!$A$2:$B$44,2,FALSE)</f>
        <v>0</v>
      </c>
      <c r="G186" s="59" t="s">
        <v>164</v>
      </c>
      <c r="H186" s="59" t="s">
        <v>197</v>
      </c>
      <c r="I186" s="61">
        <v>160</v>
      </c>
      <c r="J186" s="66"/>
      <c r="K186" s="54">
        <f t="shared" si="0"/>
        <v>0</v>
      </c>
      <c r="L186" s="54">
        <f t="shared" si="1"/>
        <v>0</v>
      </c>
    </row>
    <row r="187" spans="1:12" ht="13.5" customHeight="1">
      <c r="A187" s="35">
        <v>267048</v>
      </c>
      <c r="B187" s="57">
        <v>39024</v>
      </c>
      <c r="C187" s="60">
        <v>512000</v>
      </c>
      <c r="D187" s="58">
        <f>VLOOKUP(C187,Comptes!$A$2:$B$44,2,FALSE)</f>
        <v>0</v>
      </c>
      <c r="E187" s="59">
        <v>754000</v>
      </c>
      <c r="F187" s="58">
        <f>VLOOKUP(E187,Comptes!$A$2:$B$44,2,FALSE)</f>
        <v>0</v>
      </c>
      <c r="G187" s="59" t="s">
        <v>171</v>
      </c>
      <c r="H187" s="59" t="s">
        <v>193</v>
      </c>
      <c r="I187" s="61">
        <v>150</v>
      </c>
      <c r="J187" s="35"/>
      <c r="K187" s="54">
        <f t="shared" si="0"/>
        <v>0</v>
      </c>
      <c r="L187" s="54">
        <f t="shared" si="1"/>
        <v>0</v>
      </c>
    </row>
    <row r="188" spans="1:12" ht="13.5" customHeight="1">
      <c r="A188" s="35">
        <v>267048</v>
      </c>
      <c r="B188" s="57">
        <v>39031</v>
      </c>
      <c r="C188" s="60">
        <v>512000</v>
      </c>
      <c r="D188" s="58">
        <f>VLOOKUP(C188,Comptes!$A$2:$B$44,2,FALSE)</f>
        <v>0</v>
      </c>
      <c r="E188" s="59">
        <v>754000</v>
      </c>
      <c r="F188" s="58">
        <f>VLOOKUP(E188,Comptes!$A$2:$B$44,2,FALSE)</f>
        <v>0</v>
      </c>
      <c r="G188" s="59" t="s">
        <v>171</v>
      </c>
      <c r="H188" s="59" t="s">
        <v>193</v>
      </c>
      <c r="I188" s="61">
        <v>15</v>
      </c>
      <c r="J188" s="35"/>
      <c r="K188" s="54">
        <f t="shared" si="0"/>
        <v>0</v>
      </c>
      <c r="L188" s="54">
        <f t="shared" si="1"/>
        <v>0</v>
      </c>
    </row>
    <row r="189" spans="1:12" ht="13.5" customHeight="1">
      <c r="A189" s="35">
        <v>267048</v>
      </c>
      <c r="B189" s="57">
        <v>39036</v>
      </c>
      <c r="C189" s="60">
        <v>512000</v>
      </c>
      <c r="D189" s="58">
        <f>VLOOKUP(C189,Comptes!$A$2:$B$44,2,FALSE)</f>
        <v>0</v>
      </c>
      <c r="E189" s="59">
        <v>754000</v>
      </c>
      <c r="F189" s="58">
        <f>VLOOKUP(E189,Comptes!$A$2:$B$44,2,FALSE)</f>
        <v>0</v>
      </c>
      <c r="G189" s="59" t="s">
        <v>171</v>
      </c>
      <c r="H189" s="59" t="s">
        <v>193</v>
      </c>
      <c r="I189" s="61">
        <v>30</v>
      </c>
      <c r="J189" s="35"/>
      <c r="K189" s="54">
        <f t="shared" si="0"/>
        <v>0</v>
      </c>
      <c r="L189" s="54">
        <f t="shared" si="1"/>
        <v>0</v>
      </c>
    </row>
    <row r="190" spans="1:12" ht="13.5" customHeight="1">
      <c r="A190" s="35">
        <v>267049</v>
      </c>
      <c r="B190" s="57">
        <v>39040</v>
      </c>
      <c r="C190" s="60">
        <v>512000</v>
      </c>
      <c r="D190" s="58">
        <f>VLOOKUP(C190,Comptes!$A$2:$B$44,2,FALSE)</f>
        <v>0</v>
      </c>
      <c r="E190" s="59">
        <v>754000</v>
      </c>
      <c r="F190" s="58">
        <f>VLOOKUP(E190,Comptes!$A$2:$B$44,2,FALSE)</f>
        <v>0</v>
      </c>
      <c r="G190" s="59" t="s">
        <v>170</v>
      </c>
      <c r="H190" s="59" t="s">
        <v>197</v>
      </c>
      <c r="I190" s="61">
        <v>25</v>
      </c>
      <c r="J190" s="35"/>
      <c r="K190" s="54">
        <f t="shared" si="0"/>
        <v>0</v>
      </c>
      <c r="L190" s="54">
        <f t="shared" si="1"/>
        <v>0</v>
      </c>
    </row>
    <row r="191" spans="1:12" ht="13.5" customHeight="1">
      <c r="A191" s="35">
        <v>267049</v>
      </c>
      <c r="B191" s="57">
        <v>39040</v>
      </c>
      <c r="C191" s="60">
        <v>512000</v>
      </c>
      <c r="D191" s="58">
        <f>VLOOKUP(C191,Comptes!$A$2:$B$44,2,FALSE)</f>
        <v>0</v>
      </c>
      <c r="E191" s="59">
        <v>706230</v>
      </c>
      <c r="F191" s="58">
        <f>VLOOKUP(E191,Comptes!$A$2:$B$44,2,FALSE)</f>
        <v>0</v>
      </c>
      <c r="G191" s="59" t="s">
        <v>170</v>
      </c>
      <c r="H191" s="59" t="s">
        <v>197</v>
      </c>
      <c r="I191" s="61">
        <v>390</v>
      </c>
      <c r="J191" s="35"/>
      <c r="K191" s="54">
        <f t="shared" si="0"/>
        <v>0</v>
      </c>
      <c r="L191" s="54">
        <f t="shared" si="1"/>
        <v>0</v>
      </c>
    </row>
    <row r="192" spans="1:12" ht="13.5" customHeight="1">
      <c r="A192" s="35">
        <v>267049</v>
      </c>
      <c r="B192" s="57">
        <v>39040</v>
      </c>
      <c r="C192" s="60">
        <v>512000</v>
      </c>
      <c r="D192" s="58">
        <f>VLOOKUP(C192,Comptes!$A$2:$B$44,2,FALSE)</f>
        <v>0</v>
      </c>
      <c r="E192" s="59">
        <v>706210</v>
      </c>
      <c r="F192" s="58">
        <f>VLOOKUP(E192,Comptes!$A$2:$B$44,2,FALSE)</f>
        <v>0</v>
      </c>
      <c r="G192" s="59" t="s">
        <v>170</v>
      </c>
      <c r="H192" s="59" t="s">
        <v>197</v>
      </c>
      <c r="I192" s="61">
        <v>264</v>
      </c>
      <c r="J192" s="35"/>
      <c r="K192" s="54">
        <f t="shared" si="0"/>
        <v>0</v>
      </c>
      <c r="L192" s="54">
        <f t="shared" si="1"/>
        <v>0</v>
      </c>
    </row>
    <row r="193" spans="1:12" ht="13.5" customHeight="1">
      <c r="A193" s="35">
        <v>267049</v>
      </c>
      <c r="B193" s="57">
        <v>39040</v>
      </c>
      <c r="C193" s="60">
        <v>512000</v>
      </c>
      <c r="D193" s="58">
        <f>VLOOKUP(C193,Comptes!$A$2:$B$44,2,FALSE)</f>
        <v>0</v>
      </c>
      <c r="E193" s="59">
        <v>706220</v>
      </c>
      <c r="F193" s="58">
        <f>VLOOKUP(E193,Comptes!$A$2:$B$44,2,FALSE)</f>
        <v>0</v>
      </c>
      <c r="G193" s="59" t="s">
        <v>170</v>
      </c>
      <c r="H193" s="59" t="s">
        <v>197</v>
      </c>
      <c r="I193" s="61">
        <v>273</v>
      </c>
      <c r="J193" s="35"/>
      <c r="K193" s="54">
        <f t="shared" si="0"/>
        <v>0</v>
      </c>
      <c r="L193" s="54">
        <f t="shared" si="1"/>
        <v>0</v>
      </c>
    </row>
    <row r="194" spans="1:12" ht="13.5" customHeight="1">
      <c r="A194" s="35">
        <v>267049</v>
      </c>
      <c r="B194" s="57">
        <v>39040</v>
      </c>
      <c r="C194" s="60">
        <v>512000</v>
      </c>
      <c r="D194" s="58">
        <f>VLOOKUP(C194,Comptes!$A$2:$B$44,2,FALSE)</f>
        <v>0</v>
      </c>
      <c r="E194" s="59">
        <v>756000</v>
      </c>
      <c r="F194" s="58">
        <f>VLOOKUP(E194,Comptes!$A$2:$B$44,2,FALSE)</f>
        <v>0</v>
      </c>
      <c r="G194" s="59" t="s">
        <v>170</v>
      </c>
      <c r="H194" s="59" t="s">
        <v>197</v>
      </c>
      <c r="I194" s="61">
        <v>96</v>
      </c>
      <c r="J194" s="35"/>
      <c r="K194" s="54">
        <f t="shared" si="0"/>
        <v>0</v>
      </c>
      <c r="L194" s="54">
        <f t="shared" si="1"/>
        <v>0</v>
      </c>
    </row>
    <row r="195" spans="1:12" ht="13.5" customHeight="1">
      <c r="A195" s="35">
        <v>267049</v>
      </c>
      <c r="B195" s="57">
        <v>39040</v>
      </c>
      <c r="C195" s="60">
        <v>512000</v>
      </c>
      <c r="D195" s="58">
        <f>VLOOKUP(C195,Comptes!$A$2:$B$44,2,FALSE)</f>
        <v>0</v>
      </c>
      <c r="E195" s="59">
        <v>708000</v>
      </c>
      <c r="F195" s="58">
        <f>VLOOKUP(E195,Comptes!$A$2:$B$44,2,FALSE)</f>
        <v>0</v>
      </c>
      <c r="G195" s="59" t="s">
        <v>170</v>
      </c>
      <c r="H195" s="59" t="s">
        <v>197</v>
      </c>
      <c r="I195" s="61">
        <v>9</v>
      </c>
      <c r="J195" s="35"/>
      <c r="K195" s="54">
        <f t="shared" si="0"/>
        <v>0</v>
      </c>
      <c r="L195" s="54">
        <f t="shared" si="1"/>
        <v>0</v>
      </c>
    </row>
    <row r="196" spans="1:12" ht="13.5" customHeight="1">
      <c r="A196" s="35">
        <v>267049</v>
      </c>
      <c r="B196" s="57">
        <v>39040</v>
      </c>
      <c r="C196" s="60">
        <v>511200</v>
      </c>
      <c r="D196" s="58">
        <f>VLOOKUP(C196,Comptes!$A$2:$B$44,2,FALSE)</f>
        <v>0</v>
      </c>
      <c r="E196" s="59">
        <v>512000</v>
      </c>
      <c r="F196" s="58">
        <f>VLOOKUP(E196,Comptes!$A$2:$B$44,2,FALSE)</f>
        <v>0</v>
      </c>
      <c r="G196" s="59" t="s">
        <v>170</v>
      </c>
      <c r="H196" s="59" t="s">
        <v>197</v>
      </c>
      <c r="I196" s="61">
        <v>84</v>
      </c>
      <c r="J196" s="53"/>
      <c r="K196" s="54">
        <f t="shared" si="0"/>
        <v>0</v>
      </c>
      <c r="L196" s="54">
        <f t="shared" si="1"/>
        <v>1</v>
      </c>
    </row>
    <row r="197" spans="1:12" ht="13.5" customHeight="1">
      <c r="A197" s="35">
        <v>267049</v>
      </c>
      <c r="B197" s="57">
        <v>39040</v>
      </c>
      <c r="C197" s="60">
        <v>530000</v>
      </c>
      <c r="D197" s="58">
        <f>VLOOKUP(C197,Comptes!$A$2:$B$44,2,FALSE)</f>
        <v>0</v>
      </c>
      <c r="E197" s="59">
        <v>706230</v>
      </c>
      <c r="F197" s="58">
        <f>VLOOKUP(E197,Comptes!$A$2:$B$44,2,FALSE)</f>
        <v>0</v>
      </c>
      <c r="G197" s="59"/>
      <c r="H197" s="63"/>
      <c r="I197" s="61">
        <v>80</v>
      </c>
      <c r="J197" s="35"/>
      <c r="K197" s="54">
        <f t="shared" si="0"/>
        <v>1</v>
      </c>
      <c r="L197" s="54">
        <f t="shared" si="1"/>
        <v>0</v>
      </c>
    </row>
    <row r="198" spans="1:12" ht="13.5" customHeight="1">
      <c r="A198" s="35">
        <v>267049</v>
      </c>
      <c r="B198" s="57">
        <v>39040</v>
      </c>
      <c r="C198" s="60">
        <v>530000</v>
      </c>
      <c r="D198" s="58">
        <f>VLOOKUP(C198,Comptes!$A$2:$B$44,2,FALSE)</f>
        <v>0</v>
      </c>
      <c r="E198" s="59">
        <v>706210</v>
      </c>
      <c r="F198" s="58">
        <f>VLOOKUP(E198,Comptes!$A$2:$B$44,2,FALSE)</f>
        <v>0</v>
      </c>
      <c r="G198" s="59"/>
      <c r="H198" s="63"/>
      <c r="I198" s="61">
        <v>68</v>
      </c>
      <c r="J198" s="35"/>
      <c r="K198" s="54">
        <f t="shared" si="0"/>
        <v>1</v>
      </c>
      <c r="L198" s="54">
        <f t="shared" si="1"/>
        <v>0</v>
      </c>
    </row>
    <row r="199" spans="1:12" ht="13.5" customHeight="1">
      <c r="A199" s="35">
        <v>267049</v>
      </c>
      <c r="B199" s="57">
        <v>39040</v>
      </c>
      <c r="C199" s="60">
        <v>530000</v>
      </c>
      <c r="D199" s="58">
        <f>VLOOKUP(C199,Comptes!$A$2:$B$44,2,FALSE)</f>
        <v>0</v>
      </c>
      <c r="E199" s="59">
        <v>706220</v>
      </c>
      <c r="F199" s="58">
        <f>VLOOKUP(E199,Comptes!$A$2:$B$44,2,FALSE)</f>
        <v>0</v>
      </c>
      <c r="G199" s="59"/>
      <c r="H199" s="63"/>
      <c r="I199" s="61">
        <v>56</v>
      </c>
      <c r="J199" s="35"/>
      <c r="K199" s="54">
        <f t="shared" si="0"/>
        <v>1</v>
      </c>
      <c r="L199" s="54">
        <f t="shared" si="1"/>
        <v>0</v>
      </c>
    </row>
    <row r="200" spans="1:12" ht="13.5" customHeight="1">
      <c r="A200" s="35">
        <v>267050</v>
      </c>
      <c r="B200" s="57">
        <v>39051</v>
      </c>
      <c r="C200" s="60">
        <v>606700</v>
      </c>
      <c r="D200" s="58">
        <f>VLOOKUP(C200,Comptes!$A$2:$B$44,2,FALSE)</f>
        <v>0</v>
      </c>
      <c r="E200" s="59">
        <v>512000</v>
      </c>
      <c r="F200" s="58">
        <f>VLOOKUP(E200,Comptes!$A$2:$B$44,2,FALSE)</f>
        <v>0</v>
      </c>
      <c r="G200" s="59" t="s">
        <v>208</v>
      </c>
      <c r="H200" s="59" t="s">
        <v>209</v>
      </c>
      <c r="I200" s="61">
        <v>293.48</v>
      </c>
      <c r="J200" s="66"/>
      <c r="K200" s="54">
        <f t="shared" si="0"/>
        <v>0</v>
      </c>
      <c r="L200" s="54">
        <f t="shared" si="1"/>
        <v>0</v>
      </c>
    </row>
    <row r="201" spans="1:12" ht="13.5" customHeight="1">
      <c r="A201" s="35">
        <v>267050</v>
      </c>
      <c r="B201" s="57">
        <v>39051</v>
      </c>
      <c r="C201" s="60">
        <v>606700</v>
      </c>
      <c r="D201" s="58">
        <f>VLOOKUP(C201,Comptes!$A$2:$B$44,2,FALSE)</f>
        <v>0</v>
      </c>
      <c r="E201" s="59">
        <v>530000</v>
      </c>
      <c r="F201" s="58">
        <f>VLOOKUP(E201,Comptes!$A$2:$B$44,2,FALSE)</f>
        <v>0</v>
      </c>
      <c r="G201" s="59"/>
      <c r="H201" s="63"/>
      <c r="I201" s="61">
        <f>19.95+10.6+0.9</f>
        <v>31.449999999999996</v>
      </c>
      <c r="J201" s="66"/>
      <c r="K201" s="54">
        <f t="shared" si="0"/>
        <v>1</v>
      </c>
      <c r="L201" s="54">
        <f t="shared" si="1"/>
        <v>0</v>
      </c>
    </row>
    <row r="202" spans="1:12" ht="13.5" customHeight="1">
      <c r="A202" s="35">
        <v>267050</v>
      </c>
      <c r="B202" s="57">
        <v>39051</v>
      </c>
      <c r="C202" s="60">
        <v>625000</v>
      </c>
      <c r="D202" s="58">
        <f>VLOOKUP(C202,Comptes!$A$2:$B$44,2,FALSE)</f>
        <v>0</v>
      </c>
      <c r="E202" s="59">
        <v>530000</v>
      </c>
      <c r="F202" s="58">
        <f>VLOOKUP(E202,Comptes!$A$2:$B$44,2,FALSE)</f>
        <v>0</v>
      </c>
      <c r="G202" s="59"/>
      <c r="H202" s="63"/>
      <c r="I202" s="61">
        <v>75</v>
      </c>
      <c r="J202" s="66"/>
      <c r="K202" s="54">
        <f t="shared" si="0"/>
        <v>1</v>
      </c>
      <c r="L202" s="54">
        <f t="shared" si="1"/>
        <v>0</v>
      </c>
    </row>
    <row r="203" spans="1:12" ht="13.5" customHeight="1">
      <c r="A203" s="35">
        <v>267050</v>
      </c>
      <c r="B203" s="57">
        <v>39051</v>
      </c>
      <c r="C203" s="60">
        <v>606300</v>
      </c>
      <c r="D203" s="58">
        <f>VLOOKUP(C203,Comptes!$A$2:$B$44,2,FALSE)</f>
        <v>0</v>
      </c>
      <c r="E203" s="59">
        <v>530000</v>
      </c>
      <c r="F203" s="58">
        <f>VLOOKUP(E203,Comptes!$A$2:$B$44,2,FALSE)</f>
        <v>0</v>
      </c>
      <c r="G203" s="59"/>
      <c r="H203" s="63"/>
      <c r="I203" s="61">
        <v>367.65</v>
      </c>
      <c r="J203" s="66" t="s">
        <v>210</v>
      </c>
      <c r="K203" s="54">
        <f t="shared" si="0"/>
        <v>1</v>
      </c>
      <c r="L203" s="54">
        <f t="shared" si="1"/>
        <v>0</v>
      </c>
    </row>
    <row r="204" spans="1:12" ht="13.5" customHeight="1">
      <c r="A204" s="35">
        <v>267051</v>
      </c>
      <c r="B204" s="57">
        <v>39052</v>
      </c>
      <c r="C204" s="60">
        <v>615000</v>
      </c>
      <c r="D204" s="58">
        <f>VLOOKUP(C204,Comptes!$A$2:$B$44,2,FALSE)</f>
        <v>0</v>
      </c>
      <c r="E204" s="59">
        <v>512000</v>
      </c>
      <c r="F204" s="58">
        <f>VLOOKUP(E204,Comptes!$A$2:$B$44,2,FALSE)</f>
        <v>0</v>
      </c>
      <c r="G204" s="59" t="s">
        <v>211</v>
      </c>
      <c r="H204" s="59" t="s">
        <v>209</v>
      </c>
      <c r="I204" s="61">
        <v>139.98</v>
      </c>
      <c r="J204" s="66" t="s">
        <v>212</v>
      </c>
      <c r="K204" s="54">
        <f t="shared" si="0"/>
        <v>0</v>
      </c>
      <c r="L204" s="54">
        <f t="shared" si="1"/>
        <v>0</v>
      </c>
    </row>
    <row r="205" spans="1:12" ht="13.5" customHeight="1">
      <c r="A205" s="35">
        <v>267052</v>
      </c>
      <c r="B205" s="57">
        <v>39052</v>
      </c>
      <c r="C205" s="60">
        <v>512000</v>
      </c>
      <c r="D205" s="58">
        <f>VLOOKUP(C205,Comptes!$A$2:$B$44,2,FALSE)</f>
        <v>0</v>
      </c>
      <c r="E205" s="59">
        <v>754000</v>
      </c>
      <c r="F205" s="58">
        <f>VLOOKUP(E205,Comptes!$A$2:$B$44,2,FALSE)</f>
        <v>0</v>
      </c>
      <c r="G205" s="59" t="s">
        <v>170</v>
      </c>
      <c r="H205" s="59" t="s">
        <v>209</v>
      </c>
      <c r="I205" s="61">
        <v>45</v>
      </c>
      <c r="J205" s="66"/>
      <c r="K205" s="54">
        <f t="shared" si="0"/>
        <v>0</v>
      </c>
      <c r="L205" s="54">
        <f t="shared" si="1"/>
        <v>0</v>
      </c>
    </row>
    <row r="206" spans="1:12" ht="13.5" customHeight="1">
      <c r="A206" s="35">
        <v>267052</v>
      </c>
      <c r="B206" s="57">
        <v>39052</v>
      </c>
      <c r="C206" s="60">
        <v>512000</v>
      </c>
      <c r="D206" s="58">
        <f>VLOOKUP(C206,Comptes!$A$2:$B$44,2,FALSE)</f>
        <v>0</v>
      </c>
      <c r="E206" s="59">
        <v>756000</v>
      </c>
      <c r="F206" s="58">
        <f>VLOOKUP(E206,Comptes!$A$2:$B$44,2,FALSE)</f>
        <v>0</v>
      </c>
      <c r="G206" s="59" t="s">
        <v>170</v>
      </c>
      <c r="H206" s="59" t="s">
        <v>209</v>
      </c>
      <c r="I206" s="61">
        <v>378</v>
      </c>
      <c r="J206" s="66"/>
      <c r="K206" s="54">
        <f t="shared" si="0"/>
        <v>0</v>
      </c>
      <c r="L206" s="54">
        <f t="shared" si="1"/>
        <v>0</v>
      </c>
    </row>
    <row r="207" spans="1:12" ht="13.5" customHeight="1">
      <c r="A207" s="35">
        <v>267052</v>
      </c>
      <c r="B207" s="57">
        <v>39052</v>
      </c>
      <c r="C207" s="60">
        <v>512000</v>
      </c>
      <c r="D207" s="58">
        <f>VLOOKUP(C207,Comptes!$A$2:$B$44,2,FALSE)</f>
        <v>0</v>
      </c>
      <c r="E207" s="59">
        <v>708000</v>
      </c>
      <c r="F207" s="58">
        <f>VLOOKUP(E207,Comptes!$A$2:$B$44,2,FALSE)</f>
        <v>0</v>
      </c>
      <c r="G207" s="59" t="s">
        <v>170</v>
      </c>
      <c r="H207" s="59" t="s">
        <v>209</v>
      </c>
      <c r="I207" s="61">
        <v>99</v>
      </c>
      <c r="J207" s="66"/>
      <c r="K207" s="54">
        <f t="shared" si="0"/>
        <v>0</v>
      </c>
      <c r="L207" s="54">
        <f t="shared" si="1"/>
        <v>0</v>
      </c>
    </row>
    <row r="208" spans="1:12" ht="13.5" customHeight="1">
      <c r="A208" s="35">
        <v>267052</v>
      </c>
      <c r="B208" s="57">
        <v>39052</v>
      </c>
      <c r="C208" s="60">
        <v>512000</v>
      </c>
      <c r="D208" s="58">
        <f>VLOOKUP(C208,Comptes!$A$2:$B$44,2,FALSE)</f>
        <v>0</v>
      </c>
      <c r="E208" s="59">
        <v>706100</v>
      </c>
      <c r="F208" s="58">
        <f>VLOOKUP(E208,Comptes!$A$2:$B$44,2,FALSE)</f>
        <v>0</v>
      </c>
      <c r="G208" s="59" t="s">
        <v>170</v>
      </c>
      <c r="H208" s="59" t="s">
        <v>209</v>
      </c>
      <c r="I208" s="61">
        <v>110</v>
      </c>
      <c r="J208" s="66"/>
      <c r="K208" s="54">
        <f t="shared" si="0"/>
        <v>0</v>
      </c>
      <c r="L208" s="54">
        <f t="shared" si="1"/>
        <v>0</v>
      </c>
    </row>
    <row r="209" spans="1:12" ht="13.5" customHeight="1">
      <c r="A209" s="35">
        <v>267052</v>
      </c>
      <c r="B209" s="57">
        <v>39052</v>
      </c>
      <c r="C209" s="60">
        <v>530000</v>
      </c>
      <c r="D209" s="58">
        <f>VLOOKUP(C209,Comptes!$A$2:$B$44,2,FALSE)</f>
        <v>0</v>
      </c>
      <c r="E209" s="59">
        <v>754000</v>
      </c>
      <c r="F209" s="58">
        <f>VLOOKUP(E209,Comptes!$A$2:$B$44,2,FALSE)</f>
        <v>0</v>
      </c>
      <c r="G209" s="59"/>
      <c r="H209" s="63"/>
      <c r="I209" s="61">
        <v>169</v>
      </c>
      <c r="J209" s="66"/>
      <c r="K209" s="54">
        <f t="shared" si="0"/>
        <v>1</v>
      </c>
      <c r="L209" s="54">
        <f t="shared" si="1"/>
        <v>0</v>
      </c>
    </row>
    <row r="210" spans="1:12" ht="13.5" customHeight="1">
      <c r="A210" s="35">
        <v>267052</v>
      </c>
      <c r="B210" s="57">
        <v>39052</v>
      </c>
      <c r="C210" s="60">
        <v>530000</v>
      </c>
      <c r="D210" s="58">
        <f>VLOOKUP(C210,Comptes!$A$2:$B$44,2,FALSE)</f>
        <v>0</v>
      </c>
      <c r="E210" s="59">
        <v>756000</v>
      </c>
      <c r="F210" s="58">
        <f>VLOOKUP(E210,Comptes!$A$2:$B$44,2,FALSE)</f>
        <v>0</v>
      </c>
      <c r="G210" s="59"/>
      <c r="H210" s="63"/>
      <c r="I210" s="61">
        <v>32</v>
      </c>
      <c r="J210" s="66"/>
      <c r="K210" s="54">
        <f t="shared" si="0"/>
        <v>1</v>
      </c>
      <c r="L210" s="54">
        <f t="shared" si="1"/>
        <v>0</v>
      </c>
    </row>
    <row r="211" spans="1:12" ht="13.5" customHeight="1">
      <c r="A211" s="35">
        <v>267052</v>
      </c>
      <c r="B211" s="57">
        <v>39052</v>
      </c>
      <c r="C211" s="60">
        <v>530000</v>
      </c>
      <c r="D211" s="58">
        <f>VLOOKUP(C211,Comptes!$A$2:$B$44,2,FALSE)</f>
        <v>0</v>
      </c>
      <c r="E211" s="59">
        <v>708000</v>
      </c>
      <c r="F211" s="58">
        <f>VLOOKUP(E211,Comptes!$A$2:$B$44,2,FALSE)</f>
        <v>0</v>
      </c>
      <c r="G211" s="59"/>
      <c r="H211" s="63"/>
      <c r="I211" s="61">
        <v>9</v>
      </c>
      <c r="J211" s="66"/>
      <c r="K211" s="54">
        <f t="shared" si="0"/>
        <v>1</v>
      </c>
      <c r="L211" s="54">
        <f t="shared" si="1"/>
        <v>0</v>
      </c>
    </row>
    <row r="212" spans="1:12" ht="13.5" customHeight="1">
      <c r="A212" s="35">
        <v>267052</v>
      </c>
      <c r="B212" s="57">
        <v>39052</v>
      </c>
      <c r="C212" s="60">
        <v>530000</v>
      </c>
      <c r="D212" s="58">
        <f>VLOOKUP(C212,Comptes!$A$2:$B$44,2,FALSE)</f>
        <v>0</v>
      </c>
      <c r="E212" s="59">
        <v>706230</v>
      </c>
      <c r="F212" s="58">
        <f>VLOOKUP(E212,Comptes!$A$2:$B$44,2,FALSE)</f>
        <v>0</v>
      </c>
      <c r="G212" s="59"/>
      <c r="H212" s="63"/>
      <c r="I212" s="61">
        <v>33.5</v>
      </c>
      <c r="J212" s="66"/>
      <c r="K212" s="54">
        <f t="shared" si="0"/>
        <v>1</v>
      </c>
      <c r="L212" s="54">
        <f t="shared" si="1"/>
        <v>0</v>
      </c>
    </row>
    <row r="213" spans="1:12" ht="13.5" customHeight="1">
      <c r="A213" s="35">
        <v>267053</v>
      </c>
      <c r="B213" s="57">
        <v>39041</v>
      </c>
      <c r="C213" s="60">
        <v>512000</v>
      </c>
      <c r="D213" s="58">
        <f>VLOOKUP(C213,Comptes!$A$2:$B$44,2,FALSE)</f>
        <v>0</v>
      </c>
      <c r="E213" s="60">
        <v>706230</v>
      </c>
      <c r="F213" s="58">
        <f>VLOOKUP(E213,Comptes!$A$2:$B$44,2,FALSE)</f>
        <v>0</v>
      </c>
      <c r="G213" s="59" t="s">
        <v>171</v>
      </c>
      <c r="H213" s="59" t="s">
        <v>197</v>
      </c>
      <c r="I213" s="61">
        <v>120</v>
      </c>
      <c r="J213" s="64"/>
      <c r="K213" s="54">
        <f t="shared" si="0"/>
        <v>0</v>
      </c>
      <c r="L213" s="54">
        <f t="shared" si="1"/>
        <v>0</v>
      </c>
    </row>
    <row r="214" spans="1:12" ht="13.5" customHeight="1">
      <c r="A214" s="35">
        <v>267054</v>
      </c>
      <c r="B214" s="57">
        <v>39064</v>
      </c>
      <c r="C214" s="60">
        <v>606110</v>
      </c>
      <c r="D214" s="58">
        <f>VLOOKUP(C214,Comptes!$A$2:$B$44,2,FALSE)</f>
        <v>0</v>
      </c>
      <c r="E214" s="59">
        <v>512000</v>
      </c>
      <c r="F214" s="58">
        <f>VLOOKUP(E214,Comptes!$A$2:$B$44,2,FALSE)</f>
        <v>0</v>
      </c>
      <c r="G214" s="59" t="s">
        <v>178</v>
      </c>
      <c r="H214" s="59" t="s">
        <v>209</v>
      </c>
      <c r="I214" s="61">
        <v>75.13</v>
      </c>
      <c r="J214" s="35"/>
      <c r="K214" s="54">
        <f t="shared" si="0"/>
        <v>0</v>
      </c>
      <c r="L214" s="54">
        <f t="shared" si="1"/>
        <v>0</v>
      </c>
    </row>
    <row r="215" spans="1:12" ht="13.5" customHeight="1">
      <c r="A215" s="35">
        <v>267055</v>
      </c>
      <c r="B215" s="57">
        <v>39053</v>
      </c>
      <c r="C215" s="60">
        <v>606700</v>
      </c>
      <c r="D215" s="58">
        <f>VLOOKUP(C215,Comptes!$A$2:$B$44,2,FALSE)</f>
        <v>0</v>
      </c>
      <c r="E215" s="59">
        <v>512000</v>
      </c>
      <c r="F215" s="58">
        <f>VLOOKUP(E215,Comptes!$A$2:$B$44,2,FALSE)</f>
        <v>0</v>
      </c>
      <c r="G215" s="59" t="s">
        <v>213</v>
      </c>
      <c r="H215" s="59" t="s">
        <v>209</v>
      </c>
      <c r="I215" s="61">
        <v>248.94</v>
      </c>
      <c r="J215" s="35" t="s">
        <v>187</v>
      </c>
      <c r="K215" s="54">
        <f t="shared" si="0"/>
        <v>0</v>
      </c>
      <c r="L215" s="54">
        <f t="shared" si="1"/>
        <v>0</v>
      </c>
    </row>
    <row r="216" spans="1:12" ht="13.5" customHeight="1">
      <c r="A216" s="35">
        <v>267056</v>
      </c>
      <c r="B216" s="57">
        <v>39054</v>
      </c>
      <c r="C216" s="60">
        <v>613100</v>
      </c>
      <c r="D216" s="58">
        <f>VLOOKUP(C216,Comptes!$A$2:$B$44,2,FALSE)</f>
        <v>0</v>
      </c>
      <c r="E216" s="62">
        <v>512000</v>
      </c>
      <c r="F216" s="58">
        <f>VLOOKUP(E216,Comptes!$A$2:$B$44,2,FALSE)</f>
        <v>0</v>
      </c>
      <c r="G216" s="59" t="s">
        <v>214</v>
      </c>
      <c r="H216" s="59" t="s">
        <v>209</v>
      </c>
      <c r="I216" s="61">
        <v>835</v>
      </c>
      <c r="J216" s="66"/>
      <c r="K216" s="54">
        <f t="shared" si="0"/>
        <v>0</v>
      </c>
      <c r="L216" s="54">
        <f t="shared" si="1"/>
        <v>0</v>
      </c>
    </row>
    <row r="217" spans="1:12" ht="13.5" customHeight="1">
      <c r="A217" s="35">
        <v>267056</v>
      </c>
      <c r="B217" s="57">
        <v>39054</v>
      </c>
      <c r="C217" s="60">
        <v>625000</v>
      </c>
      <c r="D217" s="58">
        <f>VLOOKUP(C217,Comptes!$A$2:$B$44,2,FALSE)</f>
        <v>0</v>
      </c>
      <c r="E217" s="62">
        <v>512000</v>
      </c>
      <c r="F217" s="58">
        <f>VLOOKUP(E217,Comptes!$A$2:$B$44,2,FALSE)</f>
        <v>0</v>
      </c>
      <c r="G217" s="59" t="s">
        <v>214</v>
      </c>
      <c r="H217" s="59" t="s">
        <v>209</v>
      </c>
      <c r="I217" s="61">
        <v>80</v>
      </c>
      <c r="J217" s="66"/>
      <c r="K217" s="54">
        <f t="shared" si="0"/>
        <v>0</v>
      </c>
      <c r="L217" s="54">
        <f t="shared" si="1"/>
        <v>0</v>
      </c>
    </row>
    <row r="218" spans="1:12" ht="13.5" customHeight="1">
      <c r="A218" s="35">
        <v>267056</v>
      </c>
      <c r="B218" s="57">
        <v>39054</v>
      </c>
      <c r="C218" s="60">
        <v>625000</v>
      </c>
      <c r="D218" s="58">
        <f>VLOOKUP(C218,Comptes!$A$2:$B$44,2,FALSE)</f>
        <v>0</v>
      </c>
      <c r="E218" s="62">
        <v>512000</v>
      </c>
      <c r="F218" s="58">
        <f>VLOOKUP(E218,Comptes!$A$2:$B$44,2,FALSE)</f>
        <v>0</v>
      </c>
      <c r="G218" s="59" t="s">
        <v>215</v>
      </c>
      <c r="H218" s="59" t="s">
        <v>209</v>
      </c>
      <c r="I218" s="61">
        <v>425</v>
      </c>
      <c r="J218" s="66"/>
      <c r="K218" s="54">
        <f t="shared" si="0"/>
        <v>0</v>
      </c>
      <c r="L218" s="54">
        <f t="shared" si="1"/>
        <v>0</v>
      </c>
    </row>
    <row r="219" spans="1:12" ht="13.5" customHeight="1">
      <c r="A219" s="35">
        <v>267056</v>
      </c>
      <c r="B219" s="57">
        <v>39054</v>
      </c>
      <c r="C219" s="60">
        <v>625000</v>
      </c>
      <c r="D219" s="58">
        <f>VLOOKUP(C219,Comptes!$A$2:$B$44,2,FALSE)</f>
        <v>0</v>
      </c>
      <c r="E219" s="62">
        <v>512000</v>
      </c>
      <c r="F219" s="58">
        <f>VLOOKUP(E219,Comptes!$A$2:$B$44,2,FALSE)</f>
        <v>0</v>
      </c>
      <c r="G219" s="59" t="s">
        <v>216</v>
      </c>
      <c r="H219" s="59" t="s">
        <v>209</v>
      </c>
      <c r="I219" s="61">
        <v>140</v>
      </c>
      <c r="J219" s="66"/>
      <c r="K219" s="54">
        <f t="shared" si="0"/>
        <v>0</v>
      </c>
      <c r="L219" s="54">
        <f t="shared" si="1"/>
        <v>0</v>
      </c>
    </row>
    <row r="220" spans="1:12" ht="13.5" customHeight="1">
      <c r="A220" s="35">
        <v>267057</v>
      </c>
      <c r="B220" s="57">
        <v>39054</v>
      </c>
      <c r="C220" s="60">
        <v>512000</v>
      </c>
      <c r="D220" s="58">
        <f>VLOOKUP(C220,Comptes!$A$2:$B$44,2,FALSE)</f>
        <v>0</v>
      </c>
      <c r="E220" s="59">
        <v>754000</v>
      </c>
      <c r="F220" s="58">
        <f>VLOOKUP(E220,Comptes!$A$2:$B$44,2,FALSE)</f>
        <v>0</v>
      </c>
      <c r="G220" s="59" t="s">
        <v>170</v>
      </c>
      <c r="H220" s="59" t="s">
        <v>209</v>
      </c>
      <c r="I220" s="61">
        <v>50</v>
      </c>
      <c r="J220" s="35"/>
      <c r="K220" s="54">
        <f t="shared" si="0"/>
        <v>0</v>
      </c>
      <c r="L220" s="54">
        <f t="shared" si="1"/>
        <v>0</v>
      </c>
    </row>
    <row r="221" spans="1:12" ht="13.5" customHeight="1">
      <c r="A221" s="35">
        <v>267057</v>
      </c>
      <c r="B221" s="57">
        <v>39054</v>
      </c>
      <c r="C221" s="60">
        <v>512000</v>
      </c>
      <c r="D221" s="58">
        <f>VLOOKUP(C221,Comptes!$A$2:$B$44,2,FALSE)</f>
        <v>0</v>
      </c>
      <c r="E221" s="59">
        <v>706230</v>
      </c>
      <c r="F221" s="58">
        <f>VLOOKUP(E221,Comptes!$A$2:$B$44,2,FALSE)</f>
        <v>0</v>
      </c>
      <c r="G221" s="59" t="s">
        <v>170</v>
      </c>
      <c r="H221" s="59" t="s">
        <v>209</v>
      </c>
      <c r="I221" s="61">
        <v>25</v>
      </c>
      <c r="J221" s="35"/>
      <c r="K221" s="54">
        <f t="shared" si="0"/>
        <v>0</v>
      </c>
      <c r="L221" s="54">
        <f t="shared" si="1"/>
        <v>0</v>
      </c>
    </row>
    <row r="222" spans="1:12" ht="13.5" customHeight="1">
      <c r="A222" s="35">
        <v>267057</v>
      </c>
      <c r="B222" s="57">
        <v>39054</v>
      </c>
      <c r="C222" s="60">
        <v>512000</v>
      </c>
      <c r="D222" s="58">
        <f>VLOOKUP(C222,Comptes!$A$2:$B$44,2,FALSE)</f>
        <v>0</v>
      </c>
      <c r="E222" s="59">
        <v>706230</v>
      </c>
      <c r="F222" s="58">
        <f>VLOOKUP(E222,Comptes!$A$2:$B$44,2,FALSE)</f>
        <v>0</v>
      </c>
      <c r="G222" s="59" t="s">
        <v>170</v>
      </c>
      <c r="H222" s="59" t="s">
        <v>209</v>
      </c>
      <c r="I222" s="61">
        <v>1657</v>
      </c>
      <c r="J222" s="35"/>
      <c r="K222" s="54">
        <f t="shared" si="0"/>
        <v>0</v>
      </c>
      <c r="L222" s="54">
        <f t="shared" si="1"/>
        <v>0</v>
      </c>
    </row>
    <row r="223" spans="1:12" ht="13.5" customHeight="1">
      <c r="A223" s="35">
        <v>267057</v>
      </c>
      <c r="B223" s="57">
        <v>39054</v>
      </c>
      <c r="C223" s="60">
        <v>512000</v>
      </c>
      <c r="D223" s="58">
        <f>VLOOKUP(C223,Comptes!$A$2:$B$44,2,FALSE)</f>
        <v>0</v>
      </c>
      <c r="E223" s="59">
        <v>706210</v>
      </c>
      <c r="F223" s="58">
        <f>VLOOKUP(E223,Comptes!$A$2:$B$44,2,FALSE)</f>
        <v>0</v>
      </c>
      <c r="G223" s="59" t="s">
        <v>170</v>
      </c>
      <c r="H223" s="59" t="s">
        <v>209</v>
      </c>
      <c r="I223" s="61">
        <v>678</v>
      </c>
      <c r="J223" s="35"/>
      <c r="K223" s="54">
        <f t="shared" si="0"/>
        <v>0</v>
      </c>
      <c r="L223" s="54">
        <f t="shared" si="1"/>
        <v>0</v>
      </c>
    </row>
    <row r="224" spans="1:12" ht="13.5" customHeight="1">
      <c r="A224" s="35">
        <v>267057</v>
      </c>
      <c r="B224" s="57">
        <v>39054</v>
      </c>
      <c r="C224" s="60">
        <v>512000</v>
      </c>
      <c r="D224" s="58">
        <f>VLOOKUP(C224,Comptes!$A$2:$B$44,2,FALSE)</f>
        <v>0</v>
      </c>
      <c r="E224" s="59">
        <v>706220</v>
      </c>
      <c r="F224" s="58">
        <f>VLOOKUP(E224,Comptes!$A$2:$B$44,2,FALSE)</f>
        <v>0</v>
      </c>
      <c r="G224" s="59" t="s">
        <v>170</v>
      </c>
      <c r="H224" s="59" t="s">
        <v>209</v>
      </c>
      <c r="I224" s="61">
        <v>542</v>
      </c>
      <c r="J224" s="35"/>
      <c r="K224" s="54">
        <f t="shared" si="0"/>
        <v>0</v>
      </c>
      <c r="L224" s="54">
        <f t="shared" si="1"/>
        <v>0</v>
      </c>
    </row>
    <row r="225" spans="1:12" ht="13.5" customHeight="1">
      <c r="A225" s="35">
        <v>267057</v>
      </c>
      <c r="B225" s="57">
        <v>39054</v>
      </c>
      <c r="C225" s="60">
        <v>512000</v>
      </c>
      <c r="D225" s="58">
        <f>VLOOKUP(C225,Comptes!$A$2:$B$44,2,FALSE)</f>
        <v>0</v>
      </c>
      <c r="E225" s="59">
        <v>756000</v>
      </c>
      <c r="F225" s="58">
        <f>VLOOKUP(E225,Comptes!$A$2:$B$44,2,FALSE)</f>
        <v>0</v>
      </c>
      <c r="G225" s="59" t="s">
        <v>170</v>
      </c>
      <c r="H225" s="59" t="s">
        <v>209</v>
      </c>
      <c r="I225" s="61">
        <v>189</v>
      </c>
      <c r="J225" s="35"/>
      <c r="K225" s="54">
        <f t="shared" si="0"/>
        <v>0</v>
      </c>
      <c r="L225" s="54">
        <f t="shared" si="1"/>
        <v>0</v>
      </c>
    </row>
    <row r="226" spans="1:12" ht="13.5" customHeight="1">
      <c r="A226" s="35">
        <v>267057</v>
      </c>
      <c r="B226" s="57">
        <v>39054</v>
      </c>
      <c r="C226" s="60">
        <v>512000</v>
      </c>
      <c r="D226" s="58">
        <f>VLOOKUP(C226,Comptes!$A$2:$B$44,2,FALSE)</f>
        <v>0</v>
      </c>
      <c r="E226" s="59">
        <v>708000</v>
      </c>
      <c r="F226" s="58">
        <f>VLOOKUP(E226,Comptes!$A$2:$B$44,2,FALSE)</f>
        <v>0</v>
      </c>
      <c r="G226" s="59" t="s">
        <v>170</v>
      </c>
      <c r="H226" s="59" t="s">
        <v>209</v>
      </c>
      <c r="I226" s="61">
        <v>45</v>
      </c>
      <c r="J226" s="35"/>
      <c r="K226" s="54">
        <f t="shared" si="0"/>
        <v>0</v>
      </c>
      <c r="L226" s="54">
        <f t="shared" si="1"/>
        <v>0</v>
      </c>
    </row>
    <row r="227" spans="1:12" ht="13.5" customHeight="1">
      <c r="A227" s="35">
        <v>267057</v>
      </c>
      <c r="B227" s="57">
        <v>39054</v>
      </c>
      <c r="C227" s="60">
        <v>511200</v>
      </c>
      <c r="D227" s="58">
        <f>VLOOKUP(C227,Comptes!$A$2:$B$44,2,FALSE)</f>
        <v>0</v>
      </c>
      <c r="E227" s="59">
        <v>512000</v>
      </c>
      <c r="F227" s="58">
        <f>VLOOKUP(E227,Comptes!$A$2:$B$44,2,FALSE)</f>
        <v>0</v>
      </c>
      <c r="G227" s="59" t="s">
        <v>170</v>
      </c>
      <c r="H227" s="59" t="s">
        <v>209</v>
      </c>
      <c r="I227" s="61">
        <v>60</v>
      </c>
      <c r="J227" s="53"/>
      <c r="K227" s="54">
        <f t="shared" si="0"/>
        <v>0</v>
      </c>
      <c r="L227" s="54">
        <f t="shared" si="1"/>
        <v>1</v>
      </c>
    </row>
    <row r="228" spans="1:256" s="66" customFormat="1" ht="13.5" customHeight="1">
      <c r="A228" s="35">
        <v>267057</v>
      </c>
      <c r="B228" s="57">
        <v>39054</v>
      </c>
      <c r="C228" s="59">
        <v>512000</v>
      </c>
      <c r="D228" s="58">
        <f>VLOOKUP(C228,Comptes!$A$2:$B$44,2,FALSE)</f>
        <v>0</v>
      </c>
      <c r="E228" s="59">
        <v>511200</v>
      </c>
      <c r="F228" s="58">
        <f>VLOOKUP(E228,Comptes!$A$2:$B$44,2,FALSE)</f>
        <v>0</v>
      </c>
      <c r="G228" s="59" t="s">
        <v>170</v>
      </c>
      <c r="H228" s="59" t="s">
        <v>209</v>
      </c>
      <c r="I228" s="68">
        <v>44</v>
      </c>
      <c r="J228" s="53"/>
      <c r="K228" s="54">
        <f t="shared" si="0"/>
        <v>0</v>
      </c>
      <c r="L228" s="54">
        <f t="shared" si="1"/>
        <v>1</v>
      </c>
      <c r="IV228"/>
    </row>
    <row r="229" spans="1:12" ht="13.5" customHeight="1">
      <c r="A229" s="35">
        <v>267057</v>
      </c>
      <c r="B229" s="57">
        <v>39054</v>
      </c>
      <c r="C229" s="60">
        <v>530000</v>
      </c>
      <c r="D229" s="58">
        <f>VLOOKUP(C229,Comptes!$A$2:$B$44,2,FALSE)</f>
        <v>0</v>
      </c>
      <c r="E229" s="59">
        <v>706230</v>
      </c>
      <c r="F229" s="58">
        <f>VLOOKUP(E229,Comptes!$A$2:$B$44,2,FALSE)</f>
        <v>0</v>
      </c>
      <c r="G229" s="59"/>
      <c r="H229" s="63"/>
      <c r="I229" s="61">
        <v>213</v>
      </c>
      <c r="J229" s="35"/>
      <c r="K229" s="54">
        <f t="shared" si="0"/>
        <v>1</v>
      </c>
      <c r="L229" s="54">
        <f t="shared" si="1"/>
        <v>0</v>
      </c>
    </row>
    <row r="230" spans="1:12" ht="13.5" customHeight="1">
      <c r="A230" s="35">
        <v>267057</v>
      </c>
      <c r="B230" s="57">
        <v>39054</v>
      </c>
      <c r="C230" s="60">
        <v>530000</v>
      </c>
      <c r="D230" s="58">
        <f>VLOOKUP(C230,Comptes!$A$2:$B$44,2,FALSE)</f>
        <v>0</v>
      </c>
      <c r="E230" s="59">
        <v>706210</v>
      </c>
      <c r="F230" s="58">
        <f>VLOOKUP(E230,Comptes!$A$2:$B$44,2,FALSE)</f>
        <v>0</v>
      </c>
      <c r="G230" s="59"/>
      <c r="H230" s="63"/>
      <c r="I230" s="61">
        <v>90</v>
      </c>
      <c r="J230" s="35"/>
      <c r="K230" s="54">
        <f t="shared" si="0"/>
        <v>1</v>
      </c>
      <c r="L230" s="54">
        <f t="shared" si="1"/>
        <v>0</v>
      </c>
    </row>
    <row r="231" spans="1:12" ht="13.5" customHeight="1">
      <c r="A231" s="35">
        <v>267057</v>
      </c>
      <c r="B231" s="57">
        <v>39054</v>
      </c>
      <c r="C231" s="60">
        <v>530000</v>
      </c>
      <c r="D231" s="58">
        <f>VLOOKUP(C231,Comptes!$A$2:$B$44,2,FALSE)</f>
        <v>0</v>
      </c>
      <c r="E231" s="59">
        <v>706220</v>
      </c>
      <c r="F231" s="58">
        <f>VLOOKUP(E231,Comptes!$A$2:$B$44,2,FALSE)</f>
        <v>0</v>
      </c>
      <c r="G231" s="59"/>
      <c r="H231" s="63"/>
      <c r="I231" s="61">
        <v>74</v>
      </c>
      <c r="J231" s="35"/>
      <c r="K231" s="54">
        <f t="shared" si="0"/>
        <v>1</v>
      </c>
      <c r="L231" s="54">
        <f t="shared" si="1"/>
        <v>0</v>
      </c>
    </row>
    <row r="232" spans="1:12" ht="13.5" customHeight="1">
      <c r="A232" s="35">
        <v>267057</v>
      </c>
      <c r="B232" s="57">
        <v>39054</v>
      </c>
      <c r="C232" s="60">
        <v>530000</v>
      </c>
      <c r="D232" s="58">
        <f>VLOOKUP(C232,Comptes!$A$2:$B$44,2,FALSE)</f>
        <v>0</v>
      </c>
      <c r="E232" s="59">
        <v>756000</v>
      </c>
      <c r="F232" s="58">
        <f>VLOOKUP(E232,Comptes!$A$2:$B$44,2,FALSE)</f>
        <v>0</v>
      </c>
      <c r="G232" s="59"/>
      <c r="H232" s="63"/>
      <c r="I232" s="61">
        <v>7</v>
      </c>
      <c r="J232" s="35"/>
      <c r="K232" s="54">
        <f t="shared" si="0"/>
        <v>1</v>
      </c>
      <c r="L232" s="54">
        <f t="shared" si="1"/>
        <v>0</v>
      </c>
    </row>
    <row r="233" spans="1:12" ht="13.5" customHeight="1">
      <c r="A233" s="35">
        <v>267057</v>
      </c>
      <c r="B233" s="57">
        <v>39054</v>
      </c>
      <c r="C233" s="60">
        <v>530000</v>
      </c>
      <c r="D233" s="58">
        <f>VLOOKUP(C233,Comptes!$A$2:$B$44,2,FALSE)</f>
        <v>0</v>
      </c>
      <c r="E233" s="59">
        <v>756000</v>
      </c>
      <c r="F233" s="58">
        <f>VLOOKUP(E233,Comptes!$A$2:$B$44,2,FALSE)</f>
        <v>0</v>
      </c>
      <c r="G233" s="59"/>
      <c r="H233" s="63"/>
      <c r="I233" s="61">
        <v>32</v>
      </c>
      <c r="J233" s="35"/>
      <c r="K233" s="54">
        <f t="shared" si="0"/>
        <v>1</v>
      </c>
      <c r="L233" s="54">
        <f t="shared" si="1"/>
        <v>0</v>
      </c>
    </row>
    <row r="234" spans="1:12" ht="13.5" customHeight="1">
      <c r="A234" s="35">
        <v>267058</v>
      </c>
      <c r="B234" s="57">
        <v>39054</v>
      </c>
      <c r="C234" s="60">
        <v>625000</v>
      </c>
      <c r="D234" s="58">
        <f>VLOOKUP(C234,Comptes!$A$2:$B$44,2,FALSE)</f>
        <v>0</v>
      </c>
      <c r="E234" s="59">
        <v>530000</v>
      </c>
      <c r="F234" s="58">
        <f>VLOOKUP(E234,Comptes!$A$2:$B$44,2,FALSE)</f>
        <v>0</v>
      </c>
      <c r="G234" s="59"/>
      <c r="H234" s="63"/>
      <c r="I234" s="61">
        <v>432</v>
      </c>
      <c r="J234" s="35"/>
      <c r="K234" s="54">
        <f t="shared" si="0"/>
        <v>1</v>
      </c>
      <c r="L234" s="54">
        <f t="shared" si="1"/>
        <v>0</v>
      </c>
    </row>
    <row r="235" spans="1:12" ht="13.5" customHeight="1">
      <c r="A235" s="35">
        <v>267059</v>
      </c>
      <c r="B235" s="57">
        <v>39051</v>
      </c>
      <c r="C235" s="60">
        <v>512000</v>
      </c>
      <c r="D235" s="58">
        <f>VLOOKUP(C235,Comptes!$A$2:$B$44,2,FALSE)</f>
        <v>0</v>
      </c>
      <c r="E235" s="60">
        <v>754000</v>
      </c>
      <c r="F235" s="58">
        <f>VLOOKUP(E235,Comptes!$A$2:$B$44,2,FALSE)</f>
        <v>0</v>
      </c>
      <c r="G235" s="59" t="s">
        <v>171</v>
      </c>
      <c r="H235" s="59" t="s">
        <v>197</v>
      </c>
      <c r="I235" s="61">
        <v>15.15</v>
      </c>
      <c r="J235" s="64"/>
      <c r="K235" s="54">
        <f t="shared" si="0"/>
        <v>0</v>
      </c>
      <c r="L235" s="54">
        <f t="shared" si="1"/>
        <v>0</v>
      </c>
    </row>
    <row r="236" spans="1:12" ht="13.5" customHeight="1">
      <c r="A236" s="35">
        <v>267060</v>
      </c>
      <c r="B236" s="57">
        <v>39058</v>
      </c>
      <c r="C236" s="60">
        <v>606700</v>
      </c>
      <c r="D236" s="58">
        <f>VLOOKUP(C236,Comptes!$A$2:$B$44,2,FALSE)</f>
        <v>0</v>
      </c>
      <c r="E236" s="59">
        <v>512000</v>
      </c>
      <c r="F236" s="58">
        <f>VLOOKUP(E236,Comptes!$A$2:$B$44,2,FALSE)</f>
        <v>0</v>
      </c>
      <c r="G236" s="59" t="s">
        <v>217</v>
      </c>
      <c r="H236" s="59" t="s">
        <v>209</v>
      </c>
      <c r="I236" s="61">
        <v>348.88</v>
      </c>
      <c r="J236" s="35" t="s">
        <v>218</v>
      </c>
      <c r="K236" s="54">
        <f t="shared" si="0"/>
        <v>0</v>
      </c>
      <c r="L236" s="54">
        <f t="shared" si="1"/>
        <v>0</v>
      </c>
    </row>
    <row r="237" spans="1:12" ht="13.5" customHeight="1">
      <c r="A237" s="35">
        <v>267060</v>
      </c>
      <c r="B237" s="57">
        <v>39058</v>
      </c>
      <c r="C237" s="60">
        <v>606700</v>
      </c>
      <c r="D237" s="58">
        <f>VLOOKUP(C237,Comptes!$A$2:$B$44,2,FALSE)</f>
        <v>0</v>
      </c>
      <c r="E237" s="59">
        <v>512000</v>
      </c>
      <c r="F237" s="58">
        <f>VLOOKUP(E237,Comptes!$A$2:$B$44,2,FALSE)</f>
        <v>0</v>
      </c>
      <c r="G237" s="59" t="s">
        <v>219</v>
      </c>
      <c r="H237" s="59" t="s">
        <v>209</v>
      </c>
      <c r="I237" s="61">
        <v>190.53</v>
      </c>
      <c r="J237" s="35" t="s">
        <v>218</v>
      </c>
      <c r="K237" s="54">
        <f t="shared" si="0"/>
        <v>0</v>
      </c>
      <c r="L237" s="54">
        <f t="shared" si="1"/>
        <v>0</v>
      </c>
    </row>
    <row r="238" spans="1:12" ht="13.5" customHeight="1">
      <c r="A238" s="35">
        <v>267061</v>
      </c>
      <c r="B238" s="57">
        <v>39061</v>
      </c>
      <c r="C238" s="60">
        <v>613200</v>
      </c>
      <c r="D238" s="58">
        <f>VLOOKUP(C238,Comptes!$A$2:$B$44,2,FALSE)</f>
        <v>0</v>
      </c>
      <c r="E238" s="59">
        <v>512000</v>
      </c>
      <c r="F238" s="58">
        <f>VLOOKUP(E238,Comptes!$A$2:$B$44,2,FALSE)</f>
        <v>0</v>
      </c>
      <c r="G238" s="59" t="s">
        <v>178</v>
      </c>
      <c r="H238" s="59" t="s">
        <v>209</v>
      </c>
      <c r="I238" s="61">
        <v>972.01</v>
      </c>
      <c r="J238" s="64" t="s">
        <v>220</v>
      </c>
      <c r="K238" s="54">
        <f t="shared" si="0"/>
        <v>0</v>
      </c>
      <c r="L238" s="54">
        <f t="shared" si="1"/>
        <v>0</v>
      </c>
    </row>
    <row r="239" spans="1:12" ht="13.5" customHeight="1">
      <c r="A239" s="35">
        <v>267062</v>
      </c>
      <c r="B239" s="57">
        <v>39061</v>
      </c>
      <c r="C239" s="60">
        <v>625000</v>
      </c>
      <c r="D239" s="58">
        <f>VLOOKUP(C239,Comptes!$A$2:$B$44,2,FALSE)</f>
        <v>0</v>
      </c>
      <c r="E239" s="59">
        <v>530000</v>
      </c>
      <c r="F239" s="58">
        <f>VLOOKUP(E239,Comptes!$A$2:$B$44,2,FALSE)</f>
        <v>0</v>
      </c>
      <c r="G239" s="59"/>
      <c r="H239" s="63"/>
      <c r="I239" s="61">
        <v>52.8</v>
      </c>
      <c r="J239" s="35"/>
      <c r="K239" s="54">
        <f t="shared" si="0"/>
        <v>1</v>
      </c>
      <c r="L239" s="54">
        <f t="shared" si="1"/>
        <v>0</v>
      </c>
    </row>
    <row r="240" spans="1:12" ht="13.5" customHeight="1">
      <c r="A240" s="35">
        <v>267062</v>
      </c>
      <c r="B240" s="57">
        <v>39061</v>
      </c>
      <c r="C240" s="60">
        <v>606700</v>
      </c>
      <c r="D240" s="58">
        <f>VLOOKUP(C240,Comptes!$A$2:$B$44,2,FALSE)</f>
        <v>0</v>
      </c>
      <c r="E240" s="59">
        <v>530000</v>
      </c>
      <c r="F240" s="58">
        <f>VLOOKUP(E240,Comptes!$A$2:$B$44,2,FALSE)</f>
        <v>0</v>
      </c>
      <c r="G240" s="59"/>
      <c r="H240" s="63"/>
      <c r="I240" s="61">
        <v>15.7</v>
      </c>
      <c r="J240" s="35"/>
      <c r="K240" s="54">
        <f t="shared" si="0"/>
        <v>1</v>
      </c>
      <c r="L240" s="54">
        <f t="shared" si="1"/>
        <v>0</v>
      </c>
    </row>
    <row r="241" spans="1:12" ht="13.5" customHeight="1">
      <c r="A241" s="35">
        <v>267063</v>
      </c>
      <c r="B241" s="57">
        <v>39063</v>
      </c>
      <c r="C241" s="60">
        <v>615000</v>
      </c>
      <c r="D241" s="58">
        <f>VLOOKUP(C241,Comptes!$A$2:$B$44,2,FALSE)</f>
        <v>0</v>
      </c>
      <c r="E241" s="59">
        <v>512000</v>
      </c>
      <c r="F241" s="58">
        <f>VLOOKUP(E241,Comptes!$A$2:$B$44,2,FALSE)</f>
        <v>0</v>
      </c>
      <c r="G241" s="59" t="s">
        <v>221</v>
      </c>
      <c r="H241" s="59" t="s">
        <v>222</v>
      </c>
      <c r="I241" s="61">
        <v>44.14</v>
      </c>
      <c r="J241" s="35" t="s">
        <v>190</v>
      </c>
      <c r="K241" s="54">
        <f t="shared" si="0"/>
        <v>0</v>
      </c>
      <c r="L241" s="54">
        <f t="shared" si="1"/>
        <v>0</v>
      </c>
    </row>
    <row r="242" spans="1:12" ht="13.5" customHeight="1">
      <c r="A242" s="35">
        <v>267064</v>
      </c>
      <c r="B242" s="57">
        <v>39063</v>
      </c>
      <c r="C242" s="60">
        <v>606150</v>
      </c>
      <c r="D242" s="58">
        <f>VLOOKUP(C242,Comptes!$A$2:$B$44,2,FALSE)</f>
        <v>0</v>
      </c>
      <c r="E242" s="59">
        <v>512000</v>
      </c>
      <c r="F242" s="58">
        <f>VLOOKUP(E242,Comptes!$A$2:$B$44,2,FALSE)</f>
        <v>0</v>
      </c>
      <c r="G242" s="59" t="s">
        <v>223</v>
      </c>
      <c r="H242" s="59" t="s">
        <v>222</v>
      </c>
      <c r="I242" s="61">
        <v>2297.22</v>
      </c>
      <c r="J242" s="35" t="s">
        <v>224</v>
      </c>
      <c r="K242" s="54">
        <f t="shared" si="0"/>
        <v>0</v>
      </c>
      <c r="L242" s="54">
        <f t="shared" si="1"/>
        <v>0</v>
      </c>
    </row>
    <row r="243" spans="1:12" ht="13.5" customHeight="1">
      <c r="A243" s="35">
        <v>267065</v>
      </c>
      <c r="B243" s="57">
        <v>39063</v>
      </c>
      <c r="C243" s="60">
        <v>606120</v>
      </c>
      <c r="D243" s="58">
        <f>VLOOKUP(C243,Comptes!$A$2:$B$44,2,FALSE)</f>
        <v>0</v>
      </c>
      <c r="E243" s="59">
        <v>512000</v>
      </c>
      <c r="F243" s="58">
        <f>VLOOKUP(E243,Comptes!$A$2:$B$44,2,FALSE)</f>
        <v>0</v>
      </c>
      <c r="G243" s="59" t="s">
        <v>200</v>
      </c>
      <c r="H243" s="59" t="s">
        <v>222</v>
      </c>
      <c r="I243" s="61">
        <v>411.08</v>
      </c>
      <c r="J243" s="35" t="s">
        <v>225</v>
      </c>
      <c r="K243" s="54">
        <f t="shared" si="0"/>
        <v>0</v>
      </c>
      <c r="L243" s="54">
        <f t="shared" si="1"/>
        <v>0</v>
      </c>
    </row>
    <row r="244" spans="1:12" ht="13.5" customHeight="1">
      <c r="A244" s="35">
        <v>267066</v>
      </c>
      <c r="B244" s="57">
        <v>39063</v>
      </c>
      <c r="C244" s="60">
        <v>625000</v>
      </c>
      <c r="D244" s="58">
        <f>VLOOKUP(C244,Comptes!$A$2:$B$44,2,FALSE)</f>
        <v>0</v>
      </c>
      <c r="E244" s="59">
        <v>512000</v>
      </c>
      <c r="F244" s="58">
        <f>VLOOKUP(E244,Comptes!$A$2:$B$44,2,FALSE)</f>
        <v>0</v>
      </c>
      <c r="G244" s="59" t="s">
        <v>226</v>
      </c>
      <c r="H244" s="59" t="s">
        <v>222</v>
      </c>
      <c r="I244" s="61">
        <v>484.8</v>
      </c>
      <c r="J244" s="35"/>
      <c r="K244" s="54">
        <f t="shared" si="0"/>
        <v>0</v>
      </c>
      <c r="L244" s="54">
        <f t="shared" si="1"/>
        <v>0</v>
      </c>
    </row>
    <row r="245" spans="1:12" ht="13.5" customHeight="1">
      <c r="A245" s="35">
        <v>267066</v>
      </c>
      <c r="B245" s="57">
        <v>39063</v>
      </c>
      <c r="C245" s="60">
        <v>622600</v>
      </c>
      <c r="D245" s="58">
        <f>VLOOKUP(C245,Comptes!$A$2:$B$44,2,FALSE)</f>
        <v>0</v>
      </c>
      <c r="E245" s="59">
        <v>512000</v>
      </c>
      <c r="F245" s="58">
        <f>VLOOKUP(E245,Comptes!$A$2:$B$44,2,FALSE)</f>
        <v>0</v>
      </c>
      <c r="G245" s="59" t="s">
        <v>227</v>
      </c>
      <c r="H245" s="59" t="s">
        <v>222</v>
      </c>
      <c r="I245" s="61">
        <v>380</v>
      </c>
      <c r="J245" s="35" t="s">
        <v>228</v>
      </c>
      <c r="K245" s="54">
        <f t="shared" si="0"/>
        <v>0</v>
      </c>
      <c r="L245" s="54">
        <f t="shared" si="1"/>
        <v>0</v>
      </c>
    </row>
    <row r="246" spans="1:12" ht="13.5" customHeight="1">
      <c r="A246" s="35">
        <v>267067</v>
      </c>
      <c r="B246" s="57">
        <v>39063</v>
      </c>
      <c r="C246" s="60">
        <v>512000</v>
      </c>
      <c r="D246" s="58">
        <f>VLOOKUP(C246,Comptes!$A$2:$B$44,2,FALSE)</f>
        <v>0</v>
      </c>
      <c r="E246" s="59">
        <v>706230</v>
      </c>
      <c r="F246" s="58">
        <f>VLOOKUP(E246,Comptes!$A$2:$B$44,2,FALSE)</f>
        <v>0</v>
      </c>
      <c r="G246" s="59" t="s">
        <v>170</v>
      </c>
      <c r="H246" s="59" t="s">
        <v>209</v>
      </c>
      <c r="I246" s="61">
        <v>580</v>
      </c>
      <c r="J246" s="35"/>
      <c r="K246" s="54">
        <f t="shared" si="0"/>
        <v>0</v>
      </c>
      <c r="L246" s="54">
        <f t="shared" si="1"/>
        <v>0</v>
      </c>
    </row>
    <row r="247" spans="1:12" ht="13.5" customHeight="1">
      <c r="A247" s="35">
        <v>267067</v>
      </c>
      <c r="B247" s="57">
        <v>39063</v>
      </c>
      <c r="C247" s="60">
        <v>512000</v>
      </c>
      <c r="D247" s="58">
        <f>VLOOKUP(C247,Comptes!$A$2:$B$44,2,FALSE)</f>
        <v>0</v>
      </c>
      <c r="E247" s="59">
        <v>706210</v>
      </c>
      <c r="F247" s="58">
        <f>VLOOKUP(E247,Comptes!$A$2:$B$44,2,FALSE)</f>
        <v>0</v>
      </c>
      <c r="G247" s="59" t="s">
        <v>170</v>
      </c>
      <c r="H247" s="59" t="s">
        <v>209</v>
      </c>
      <c r="I247" s="61">
        <v>254</v>
      </c>
      <c r="J247" s="35"/>
      <c r="K247" s="54">
        <f t="shared" si="0"/>
        <v>0</v>
      </c>
      <c r="L247" s="54">
        <f t="shared" si="1"/>
        <v>0</v>
      </c>
    </row>
    <row r="248" spans="1:12" ht="13.5" customHeight="1">
      <c r="A248" s="35">
        <v>267067</v>
      </c>
      <c r="B248" s="57">
        <v>39063</v>
      </c>
      <c r="C248" s="60">
        <v>512000</v>
      </c>
      <c r="D248" s="58">
        <f>VLOOKUP(C248,Comptes!$A$2:$B$44,2,FALSE)</f>
        <v>0</v>
      </c>
      <c r="E248" s="59">
        <v>706220</v>
      </c>
      <c r="F248" s="58">
        <f>VLOOKUP(E248,Comptes!$A$2:$B$44,2,FALSE)</f>
        <v>0</v>
      </c>
      <c r="G248" s="59" t="s">
        <v>170</v>
      </c>
      <c r="H248" s="59" t="s">
        <v>209</v>
      </c>
      <c r="I248" s="61">
        <v>196</v>
      </c>
      <c r="J248" s="35"/>
      <c r="K248" s="54">
        <f t="shared" si="0"/>
        <v>0</v>
      </c>
      <c r="L248" s="54">
        <f t="shared" si="1"/>
        <v>0</v>
      </c>
    </row>
    <row r="249" spans="1:12" ht="13.5" customHeight="1">
      <c r="A249" s="35">
        <v>267067</v>
      </c>
      <c r="B249" s="57">
        <v>39063</v>
      </c>
      <c r="C249" s="60">
        <v>512000</v>
      </c>
      <c r="D249" s="58">
        <f>VLOOKUP(C249,Comptes!$A$2:$B$44,2,FALSE)</f>
        <v>0</v>
      </c>
      <c r="E249" s="59">
        <v>756000</v>
      </c>
      <c r="F249" s="58">
        <f>VLOOKUP(E249,Comptes!$A$2:$B$44,2,FALSE)</f>
        <v>0</v>
      </c>
      <c r="G249" s="59" t="s">
        <v>170</v>
      </c>
      <c r="H249" s="59" t="s">
        <v>209</v>
      </c>
      <c r="I249" s="61">
        <v>96</v>
      </c>
      <c r="J249" s="35"/>
      <c r="K249" s="54">
        <f t="shared" si="0"/>
        <v>0</v>
      </c>
      <c r="L249" s="54">
        <f t="shared" si="1"/>
        <v>0</v>
      </c>
    </row>
    <row r="250" spans="1:12" ht="13.5" customHeight="1">
      <c r="A250" s="35">
        <v>267067</v>
      </c>
      <c r="B250" s="57">
        <v>39063</v>
      </c>
      <c r="C250" s="60">
        <v>512000</v>
      </c>
      <c r="D250" s="58">
        <f>VLOOKUP(C250,Comptes!$A$2:$B$44,2,FALSE)</f>
        <v>0</v>
      </c>
      <c r="E250" s="59">
        <v>511200</v>
      </c>
      <c r="F250" s="58">
        <f>VLOOKUP(E250,Comptes!$A$2:$B$44,2,FALSE)</f>
        <v>0</v>
      </c>
      <c r="G250" s="59" t="s">
        <v>170</v>
      </c>
      <c r="H250" s="59" t="s">
        <v>209</v>
      </c>
      <c r="I250" s="61">
        <v>84</v>
      </c>
      <c r="J250" s="53"/>
      <c r="K250" s="54">
        <f t="shared" si="0"/>
        <v>0</v>
      </c>
      <c r="L250" s="54">
        <f t="shared" si="1"/>
        <v>1</v>
      </c>
    </row>
    <row r="251" spans="1:12" ht="13.5" customHeight="1">
      <c r="A251" s="35">
        <v>267067</v>
      </c>
      <c r="B251" s="57">
        <v>39063</v>
      </c>
      <c r="C251" s="60">
        <v>512000</v>
      </c>
      <c r="D251" s="58">
        <f>VLOOKUP(C251,Comptes!$A$2:$B$44,2,FALSE)</f>
        <v>0</v>
      </c>
      <c r="E251" s="59">
        <v>511200</v>
      </c>
      <c r="F251" s="58">
        <f>VLOOKUP(E251,Comptes!$A$2:$B$44,2,FALSE)</f>
        <v>0</v>
      </c>
      <c r="G251" s="59" t="s">
        <v>170</v>
      </c>
      <c r="H251" s="59" t="s">
        <v>209</v>
      </c>
      <c r="I251" s="61">
        <v>60</v>
      </c>
      <c r="J251" s="53"/>
      <c r="K251" s="54">
        <f t="shared" si="0"/>
        <v>0</v>
      </c>
      <c r="L251" s="54">
        <f t="shared" si="1"/>
        <v>1</v>
      </c>
    </row>
    <row r="252" spans="1:12" ht="13.5" customHeight="1">
      <c r="A252" s="35">
        <v>267067</v>
      </c>
      <c r="B252" s="57">
        <v>39063</v>
      </c>
      <c r="C252" s="60">
        <v>512000</v>
      </c>
      <c r="D252" s="58">
        <f>VLOOKUP(C252,Comptes!$A$2:$B$44,2,FALSE)</f>
        <v>0</v>
      </c>
      <c r="E252" s="59">
        <v>756000</v>
      </c>
      <c r="F252" s="58">
        <f>VLOOKUP(E252,Comptes!$A$2:$B$44,2,FALSE)</f>
        <v>0</v>
      </c>
      <c r="G252" s="59" t="s">
        <v>170</v>
      </c>
      <c r="H252" s="59" t="s">
        <v>209</v>
      </c>
      <c r="I252" s="61">
        <v>94</v>
      </c>
      <c r="J252" s="35"/>
      <c r="K252" s="54">
        <f t="shared" si="0"/>
        <v>0</v>
      </c>
      <c r="L252" s="54">
        <f t="shared" si="1"/>
        <v>0</v>
      </c>
    </row>
    <row r="253" spans="1:12" ht="13.5" customHeight="1">
      <c r="A253" s="35">
        <v>267067</v>
      </c>
      <c r="B253" s="57">
        <v>39063</v>
      </c>
      <c r="C253" s="60">
        <v>512000</v>
      </c>
      <c r="D253" s="58">
        <f>VLOOKUP(C253,Comptes!$A$2:$B$44,2,FALSE)</f>
        <v>0</v>
      </c>
      <c r="E253" s="59">
        <v>708000</v>
      </c>
      <c r="F253" s="58">
        <f>VLOOKUP(E253,Comptes!$A$2:$B$44,2,FALSE)</f>
        <v>0</v>
      </c>
      <c r="G253" s="59" t="s">
        <v>170</v>
      </c>
      <c r="H253" s="59" t="s">
        <v>209</v>
      </c>
      <c r="I253" s="61">
        <v>36</v>
      </c>
      <c r="J253" s="35"/>
      <c r="K253" s="54">
        <f t="shared" si="0"/>
        <v>0</v>
      </c>
      <c r="L253" s="54">
        <f t="shared" si="1"/>
        <v>0</v>
      </c>
    </row>
    <row r="254" spans="1:12" ht="13.5" customHeight="1">
      <c r="A254" s="35">
        <v>267067</v>
      </c>
      <c r="B254" s="57">
        <v>39063</v>
      </c>
      <c r="C254" s="60">
        <v>511200</v>
      </c>
      <c r="D254" s="58">
        <f>VLOOKUP(C254,Comptes!$A$2:$B$44,2,FALSE)</f>
        <v>0</v>
      </c>
      <c r="E254" s="59">
        <v>512000</v>
      </c>
      <c r="F254" s="58">
        <f>VLOOKUP(E254,Comptes!$A$2:$B$44,2,FALSE)</f>
        <v>0</v>
      </c>
      <c r="G254" s="59" t="s">
        <v>170</v>
      </c>
      <c r="H254" s="59" t="s">
        <v>209</v>
      </c>
      <c r="I254" s="61">
        <v>50</v>
      </c>
      <c r="J254" s="53"/>
      <c r="K254" s="54">
        <f t="shared" si="0"/>
        <v>0</v>
      </c>
      <c r="L254" s="54">
        <f t="shared" si="1"/>
        <v>1</v>
      </c>
    </row>
    <row r="255" spans="1:12" ht="13.5" customHeight="1">
      <c r="A255" s="35">
        <v>267067</v>
      </c>
      <c r="B255" s="57">
        <v>39063</v>
      </c>
      <c r="C255" s="60">
        <v>511200</v>
      </c>
      <c r="D255" s="58">
        <f>VLOOKUP(C255,Comptes!$A$2:$B$44,2,FALSE)</f>
        <v>0</v>
      </c>
      <c r="E255" s="59">
        <v>512000</v>
      </c>
      <c r="F255" s="58">
        <f>VLOOKUP(E255,Comptes!$A$2:$B$44,2,FALSE)</f>
        <v>0</v>
      </c>
      <c r="G255" s="59" t="s">
        <v>170</v>
      </c>
      <c r="H255" s="59" t="s">
        <v>209</v>
      </c>
      <c r="I255" s="61">
        <v>47</v>
      </c>
      <c r="J255" s="53"/>
      <c r="K255" s="54">
        <f t="shared" si="0"/>
        <v>0</v>
      </c>
      <c r="L255" s="54">
        <f t="shared" si="1"/>
        <v>1</v>
      </c>
    </row>
    <row r="256" spans="1:12" ht="13.5" customHeight="1">
      <c r="A256" s="35">
        <v>267067</v>
      </c>
      <c r="B256" s="57">
        <v>39063</v>
      </c>
      <c r="C256" s="60">
        <v>530000</v>
      </c>
      <c r="D256" s="58">
        <f>VLOOKUP(C256,Comptes!$A$2:$B$44,2,FALSE)</f>
        <v>0</v>
      </c>
      <c r="E256" s="59">
        <v>706220</v>
      </c>
      <c r="F256" s="58">
        <f>VLOOKUP(E256,Comptes!$A$2:$B$44,2,FALSE)</f>
        <v>0</v>
      </c>
      <c r="G256" s="59"/>
      <c r="H256" s="63"/>
      <c r="I256" s="61">
        <v>28</v>
      </c>
      <c r="J256" s="35"/>
      <c r="K256" s="54">
        <f t="shared" si="0"/>
        <v>1</v>
      </c>
      <c r="L256" s="54">
        <f t="shared" si="1"/>
        <v>0</v>
      </c>
    </row>
    <row r="257" spans="1:12" ht="13.5" customHeight="1">
      <c r="A257" s="35">
        <v>267067</v>
      </c>
      <c r="B257" s="57">
        <v>39063</v>
      </c>
      <c r="C257" s="60">
        <v>530000</v>
      </c>
      <c r="D257" s="58">
        <f>VLOOKUP(C257,Comptes!$A$2:$B$44,2,FALSE)</f>
        <v>0</v>
      </c>
      <c r="E257" s="59">
        <v>754000</v>
      </c>
      <c r="F257" s="58">
        <f>VLOOKUP(E257,Comptes!$A$2:$B$44,2,FALSE)</f>
        <v>0</v>
      </c>
      <c r="G257" s="59"/>
      <c r="H257" s="63"/>
      <c r="I257" s="61">
        <v>1</v>
      </c>
      <c r="J257" s="35"/>
      <c r="K257" s="54">
        <f t="shared" si="0"/>
        <v>1</v>
      </c>
      <c r="L257" s="54">
        <f t="shared" si="1"/>
        <v>0</v>
      </c>
    </row>
    <row r="258" spans="1:12" ht="13.5" customHeight="1">
      <c r="A258" s="35">
        <v>267067</v>
      </c>
      <c r="B258" s="57">
        <v>39063</v>
      </c>
      <c r="C258" s="60">
        <v>530000</v>
      </c>
      <c r="D258" s="58">
        <f>VLOOKUP(C258,Comptes!$A$2:$B$44,2,FALSE)</f>
        <v>0</v>
      </c>
      <c r="E258" s="59">
        <v>756000</v>
      </c>
      <c r="F258" s="58">
        <f>VLOOKUP(E258,Comptes!$A$2:$B$44,2,FALSE)</f>
        <v>0</v>
      </c>
      <c r="G258" s="59"/>
      <c r="H258" s="63"/>
      <c r="I258" s="61">
        <v>10</v>
      </c>
      <c r="J258" s="35"/>
      <c r="K258" s="54">
        <f t="shared" si="0"/>
        <v>1</v>
      </c>
      <c r="L258" s="54">
        <f t="shared" si="1"/>
        <v>0</v>
      </c>
    </row>
    <row r="259" spans="1:12" ht="13.5" customHeight="1">
      <c r="A259" s="35">
        <v>267067</v>
      </c>
      <c r="B259" s="57">
        <v>39063</v>
      </c>
      <c r="C259" s="60">
        <v>530000</v>
      </c>
      <c r="D259" s="58">
        <f>VLOOKUP(C259,Comptes!$A$2:$B$44,2,FALSE)</f>
        <v>0</v>
      </c>
      <c r="E259" s="59">
        <v>708000</v>
      </c>
      <c r="F259" s="58">
        <f>VLOOKUP(E259,Comptes!$A$2:$B$44,2,FALSE)</f>
        <v>0</v>
      </c>
      <c r="G259" s="59"/>
      <c r="H259" s="63"/>
      <c r="I259" s="61">
        <v>9</v>
      </c>
      <c r="J259" s="35"/>
      <c r="K259" s="54">
        <f t="shared" si="0"/>
        <v>1</v>
      </c>
      <c r="L259" s="54">
        <f t="shared" si="1"/>
        <v>0</v>
      </c>
    </row>
    <row r="260" spans="1:12" ht="13.5" customHeight="1">
      <c r="A260" s="35">
        <v>267068</v>
      </c>
      <c r="B260" s="57">
        <v>39064</v>
      </c>
      <c r="C260" s="60">
        <v>626500</v>
      </c>
      <c r="D260" s="58">
        <f>VLOOKUP(C260,Comptes!$A$2:$B$44,2,FALSE)</f>
        <v>0</v>
      </c>
      <c r="E260" s="59">
        <v>512000</v>
      </c>
      <c r="F260" s="58">
        <f>VLOOKUP(E260,Comptes!$A$2:$B$44,2,FALSE)</f>
        <v>0</v>
      </c>
      <c r="G260" s="36" t="s">
        <v>178</v>
      </c>
      <c r="H260" s="59" t="s">
        <v>209</v>
      </c>
      <c r="I260" s="61">
        <v>21.4</v>
      </c>
      <c r="J260" s="35" t="s">
        <v>184</v>
      </c>
      <c r="K260" s="54">
        <f t="shared" si="0"/>
        <v>0</v>
      </c>
      <c r="L260" s="54">
        <f t="shared" si="1"/>
        <v>0</v>
      </c>
    </row>
    <row r="261" spans="1:12" ht="13.5" customHeight="1">
      <c r="A261" s="65">
        <v>256173</v>
      </c>
      <c r="B261" s="57">
        <v>39064</v>
      </c>
      <c r="C261" s="60">
        <v>606110</v>
      </c>
      <c r="D261" s="58">
        <f>VLOOKUP(C261,Comptes!$A$2:$B$44,2,FALSE)</f>
        <v>0</v>
      </c>
      <c r="E261" s="59">
        <v>512000</v>
      </c>
      <c r="F261" s="58">
        <f>VLOOKUP(E261,Comptes!$A$2:$B$44,2,FALSE)</f>
        <v>0</v>
      </c>
      <c r="G261" s="36" t="s">
        <v>178</v>
      </c>
      <c r="H261" s="59" t="s">
        <v>209</v>
      </c>
      <c r="I261" s="37">
        <v>147</v>
      </c>
      <c r="J261" s="35" t="s">
        <v>181</v>
      </c>
      <c r="K261" s="54">
        <f t="shared" si="0"/>
        <v>0</v>
      </c>
      <c r="L261" s="54">
        <f t="shared" si="1"/>
        <v>0</v>
      </c>
    </row>
    <row r="262" spans="1:12" ht="13.5" customHeight="1">
      <c r="A262" s="35">
        <v>267069</v>
      </c>
      <c r="B262" s="57">
        <v>39066</v>
      </c>
      <c r="C262" s="60">
        <v>606110</v>
      </c>
      <c r="D262" s="58">
        <f>VLOOKUP(C262,Comptes!$A$2:$B$44,2,FALSE)</f>
        <v>0</v>
      </c>
      <c r="E262" s="59">
        <v>512000</v>
      </c>
      <c r="F262" s="58">
        <f>VLOOKUP(E262,Comptes!$A$2:$B$44,2,FALSE)</f>
        <v>0</v>
      </c>
      <c r="G262" s="59" t="s">
        <v>178</v>
      </c>
      <c r="H262" s="59" t="s">
        <v>209</v>
      </c>
      <c r="I262" s="61">
        <v>94.58</v>
      </c>
      <c r="J262" s="35" t="s">
        <v>229</v>
      </c>
      <c r="K262" s="54">
        <f t="shared" si="0"/>
        <v>0</v>
      </c>
      <c r="L262" s="54">
        <f t="shared" si="1"/>
        <v>0</v>
      </c>
    </row>
    <row r="263" spans="1:12" ht="13.5" customHeight="1">
      <c r="A263" s="35">
        <v>267070</v>
      </c>
      <c r="B263" s="57">
        <v>39066</v>
      </c>
      <c r="C263" s="60">
        <v>606400</v>
      </c>
      <c r="D263" s="58">
        <f>VLOOKUP(C263,Comptes!$A$2:$B$44,2,FALSE)</f>
        <v>0</v>
      </c>
      <c r="E263" s="59">
        <v>530000</v>
      </c>
      <c r="F263" s="58">
        <f>VLOOKUP(E263,Comptes!$A$2:$B$44,2,FALSE)</f>
        <v>0</v>
      </c>
      <c r="G263" s="59"/>
      <c r="H263" s="63"/>
      <c r="I263" s="61">
        <v>27.43</v>
      </c>
      <c r="J263" s="35"/>
      <c r="K263" s="54">
        <f t="shared" si="0"/>
        <v>1</v>
      </c>
      <c r="L263" s="54">
        <f t="shared" si="1"/>
        <v>0</v>
      </c>
    </row>
    <row r="264" spans="1:12" ht="13.5" customHeight="1">
      <c r="A264" s="35">
        <v>267071</v>
      </c>
      <c r="B264" s="57">
        <v>39066</v>
      </c>
      <c r="C264" s="60">
        <v>625000</v>
      </c>
      <c r="D264" s="58">
        <f>VLOOKUP(C264,Comptes!$A$2:$B$44,2,FALSE)</f>
        <v>0</v>
      </c>
      <c r="E264" s="59">
        <v>530000</v>
      </c>
      <c r="F264" s="58">
        <f>VLOOKUP(E264,Comptes!$A$2:$B$44,2,FALSE)</f>
        <v>0</v>
      </c>
      <c r="G264" s="59"/>
      <c r="H264" s="63"/>
      <c r="I264" s="61">
        <v>144</v>
      </c>
      <c r="J264" s="35"/>
      <c r="K264" s="54">
        <f t="shared" si="0"/>
        <v>1</v>
      </c>
      <c r="L264" s="54">
        <f t="shared" si="1"/>
        <v>0</v>
      </c>
    </row>
    <row r="265" spans="1:12" ht="13.5" customHeight="1">
      <c r="A265" s="35">
        <v>267072</v>
      </c>
      <c r="B265" s="57">
        <v>39067</v>
      </c>
      <c r="C265" s="60">
        <v>625000</v>
      </c>
      <c r="D265" s="58">
        <f>VLOOKUP(C265,Comptes!$A$2:$B$44,2,FALSE)</f>
        <v>0</v>
      </c>
      <c r="E265" s="59">
        <v>512000</v>
      </c>
      <c r="F265" s="58">
        <f>VLOOKUP(E265,Comptes!$A$2:$B$44,2,FALSE)</f>
        <v>0</v>
      </c>
      <c r="G265" s="59" t="s">
        <v>230</v>
      </c>
      <c r="H265" s="59" t="s">
        <v>222</v>
      </c>
      <c r="I265" s="61">
        <v>210.72</v>
      </c>
      <c r="J265" s="35"/>
      <c r="K265" s="54">
        <f t="shared" si="0"/>
        <v>0</v>
      </c>
      <c r="L265" s="54">
        <f t="shared" si="1"/>
        <v>0</v>
      </c>
    </row>
    <row r="266" spans="1:12" ht="13.5" customHeight="1">
      <c r="A266" s="35">
        <v>267072</v>
      </c>
      <c r="B266" s="57">
        <v>39067</v>
      </c>
      <c r="C266" s="60">
        <v>606700</v>
      </c>
      <c r="D266" s="58">
        <f>VLOOKUP(C266,Comptes!$A$2:$B$44,2,FALSE)</f>
        <v>0</v>
      </c>
      <c r="E266" s="59">
        <v>512000</v>
      </c>
      <c r="F266" s="58">
        <f>VLOOKUP(E266,Comptes!$A$2:$B$44,2,FALSE)</f>
        <v>0</v>
      </c>
      <c r="G266" s="59" t="s">
        <v>230</v>
      </c>
      <c r="H266" s="59" t="s">
        <v>222</v>
      </c>
      <c r="I266" s="61">
        <v>55.54</v>
      </c>
      <c r="J266" s="35"/>
      <c r="K266" s="54">
        <f t="shared" si="0"/>
        <v>0</v>
      </c>
      <c r="L266" s="54">
        <f t="shared" si="1"/>
        <v>0</v>
      </c>
    </row>
    <row r="267" spans="1:12" ht="13.5" customHeight="1">
      <c r="A267" s="35">
        <v>267073</v>
      </c>
      <c r="B267" s="57">
        <v>39065</v>
      </c>
      <c r="C267" s="60">
        <v>606700</v>
      </c>
      <c r="D267" s="58">
        <f>VLOOKUP(C267,Comptes!$A$2:$B$44,2,FALSE)</f>
        <v>0</v>
      </c>
      <c r="E267" s="59">
        <v>512000</v>
      </c>
      <c r="F267" s="58">
        <f>VLOOKUP(E267,Comptes!$A$2:$B$44,2,FALSE)</f>
        <v>0</v>
      </c>
      <c r="G267" s="59" t="s">
        <v>231</v>
      </c>
      <c r="H267" s="59" t="s">
        <v>222</v>
      </c>
      <c r="I267" s="61">
        <v>123.73</v>
      </c>
      <c r="J267" s="35"/>
      <c r="K267" s="54">
        <f t="shared" si="0"/>
        <v>0</v>
      </c>
      <c r="L267" s="54">
        <f t="shared" si="1"/>
        <v>0</v>
      </c>
    </row>
    <row r="268" spans="1:12" ht="13.5" customHeight="1">
      <c r="A268" s="35">
        <v>267074</v>
      </c>
      <c r="B268" s="57">
        <v>39068</v>
      </c>
      <c r="C268" s="60">
        <v>512000</v>
      </c>
      <c r="D268" s="58">
        <f>VLOOKUP(C268,Comptes!$A$2:$B$44,2,FALSE)</f>
        <v>0</v>
      </c>
      <c r="E268" s="59">
        <v>706230</v>
      </c>
      <c r="F268" s="58">
        <f>VLOOKUP(E268,Comptes!$A$2:$B$44,2,FALSE)</f>
        <v>0</v>
      </c>
      <c r="G268" s="59" t="s">
        <v>170</v>
      </c>
      <c r="H268" s="59" t="s">
        <v>222</v>
      </c>
      <c r="I268" s="61">
        <v>405</v>
      </c>
      <c r="J268" s="35"/>
      <c r="K268" s="54">
        <f t="shared" si="0"/>
        <v>0</v>
      </c>
      <c r="L268" s="54">
        <f t="shared" si="1"/>
        <v>0</v>
      </c>
    </row>
    <row r="269" spans="1:12" ht="13.5" customHeight="1">
      <c r="A269" s="35">
        <v>267074</v>
      </c>
      <c r="B269" s="57">
        <v>39068</v>
      </c>
      <c r="C269" s="60">
        <v>512000</v>
      </c>
      <c r="D269" s="58">
        <f>VLOOKUP(C269,Comptes!$A$2:$B$44,2,FALSE)</f>
        <v>0</v>
      </c>
      <c r="E269" s="59">
        <v>706210</v>
      </c>
      <c r="F269" s="58">
        <f>VLOOKUP(E269,Comptes!$A$2:$B$44,2,FALSE)</f>
        <v>0</v>
      </c>
      <c r="G269" s="59" t="s">
        <v>170</v>
      </c>
      <c r="H269" s="59" t="s">
        <v>222</v>
      </c>
      <c r="I269" s="61">
        <v>321</v>
      </c>
      <c r="J269" s="35"/>
      <c r="K269" s="54">
        <f t="shared" si="0"/>
        <v>0</v>
      </c>
      <c r="L269" s="54">
        <f t="shared" si="1"/>
        <v>0</v>
      </c>
    </row>
    <row r="270" spans="1:12" ht="13.5" customHeight="1">
      <c r="A270" s="35">
        <v>267074</v>
      </c>
      <c r="B270" s="57">
        <v>39068</v>
      </c>
      <c r="C270" s="60">
        <v>512000</v>
      </c>
      <c r="D270" s="58">
        <f>VLOOKUP(C270,Comptes!$A$2:$B$44,2,FALSE)</f>
        <v>0</v>
      </c>
      <c r="E270" s="59">
        <v>706220</v>
      </c>
      <c r="F270" s="58">
        <f>VLOOKUP(E270,Comptes!$A$2:$B$44,2,FALSE)</f>
        <v>0</v>
      </c>
      <c r="G270" s="59" t="s">
        <v>170</v>
      </c>
      <c r="H270" s="59" t="s">
        <v>222</v>
      </c>
      <c r="I270" s="61">
        <v>307</v>
      </c>
      <c r="J270" s="35"/>
      <c r="K270" s="54">
        <f t="shared" si="0"/>
        <v>0</v>
      </c>
      <c r="L270" s="54">
        <f t="shared" si="1"/>
        <v>0</v>
      </c>
    </row>
    <row r="271" spans="1:12" ht="13.5" customHeight="1">
      <c r="A271" s="35">
        <v>267074</v>
      </c>
      <c r="B271" s="57">
        <v>39068</v>
      </c>
      <c r="C271" s="60">
        <v>512000</v>
      </c>
      <c r="D271" s="58">
        <f>VLOOKUP(C271,Comptes!$A$2:$B$44,2,FALSE)</f>
        <v>0</v>
      </c>
      <c r="E271" s="59">
        <v>756000</v>
      </c>
      <c r="F271" s="58">
        <f>VLOOKUP(E271,Comptes!$A$2:$B$44,2,FALSE)</f>
        <v>0</v>
      </c>
      <c r="G271" s="59" t="s">
        <v>170</v>
      </c>
      <c r="H271" s="59" t="s">
        <v>222</v>
      </c>
      <c r="I271" s="61">
        <v>105</v>
      </c>
      <c r="J271" s="35"/>
      <c r="K271" s="54">
        <f t="shared" si="0"/>
        <v>0</v>
      </c>
      <c r="L271" s="54">
        <f t="shared" si="1"/>
        <v>0</v>
      </c>
    </row>
    <row r="272" spans="1:12" ht="13.5" customHeight="1">
      <c r="A272" s="35">
        <v>267074</v>
      </c>
      <c r="B272" s="57">
        <v>39068</v>
      </c>
      <c r="C272" s="60">
        <v>512000</v>
      </c>
      <c r="D272" s="58">
        <f>VLOOKUP(C272,Comptes!$A$2:$B$44,2,FALSE)</f>
        <v>0</v>
      </c>
      <c r="E272" s="59">
        <v>708000</v>
      </c>
      <c r="F272" s="58">
        <f>VLOOKUP(E272,Comptes!$A$2:$B$44,2,FALSE)</f>
        <v>0</v>
      </c>
      <c r="G272" s="59" t="s">
        <v>170</v>
      </c>
      <c r="H272" s="59" t="s">
        <v>222</v>
      </c>
      <c r="I272" s="61">
        <v>18</v>
      </c>
      <c r="J272" s="35"/>
      <c r="K272" s="54">
        <f t="shared" si="0"/>
        <v>0</v>
      </c>
      <c r="L272" s="54">
        <f t="shared" si="1"/>
        <v>0</v>
      </c>
    </row>
    <row r="273" spans="1:12" ht="13.5" customHeight="1">
      <c r="A273" s="35">
        <v>267074</v>
      </c>
      <c r="B273" s="57">
        <v>39068</v>
      </c>
      <c r="C273" s="60">
        <v>512000</v>
      </c>
      <c r="D273" s="58">
        <f>VLOOKUP(C273,Comptes!$A$2:$B$44,2,FALSE)</f>
        <v>0</v>
      </c>
      <c r="E273" s="59">
        <v>754000</v>
      </c>
      <c r="F273" s="58">
        <f>VLOOKUP(E273,Comptes!$A$2:$B$44,2,FALSE)</f>
        <v>0</v>
      </c>
      <c r="G273" s="59" t="s">
        <v>170</v>
      </c>
      <c r="H273" s="59" t="s">
        <v>222</v>
      </c>
      <c r="I273" s="61">
        <v>9</v>
      </c>
      <c r="J273" s="35"/>
      <c r="K273" s="54">
        <f t="shared" si="0"/>
        <v>0</v>
      </c>
      <c r="L273" s="54">
        <f t="shared" si="1"/>
        <v>0</v>
      </c>
    </row>
    <row r="274" spans="1:12" ht="13.5" customHeight="1">
      <c r="A274" s="35">
        <v>267074</v>
      </c>
      <c r="B274" s="57">
        <v>39068</v>
      </c>
      <c r="C274" s="60">
        <v>512000</v>
      </c>
      <c r="D274" s="58">
        <f>VLOOKUP(C274,Comptes!$A$2:$B$44,2,FALSE)</f>
        <v>0</v>
      </c>
      <c r="E274" s="59">
        <v>756000</v>
      </c>
      <c r="F274" s="58">
        <f>VLOOKUP(E274,Comptes!$A$2:$B$44,2,FALSE)</f>
        <v>0</v>
      </c>
      <c r="G274" s="59" t="s">
        <v>170</v>
      </c>
      <c r="H274" s="59" t="s">
        <v>222</v>
      </c>
      <c r="I274" s="61">
        <v>32</v>
      </c>
      <c r="J274" s="35"/>
      <c r="K274" s="54">
        <f t="shared" si="0"/>
        <v>0</v>
      </c>
      <c r="L274" s="54">
        <f t="shared" si="1"/>
        <v>0</v>
      </c>
    </row>
    <row r="275" spans="1:12" ht="13.5" customHeight="1">
      <c r="A275" s="35">
        <v>267074</v>
      </c>
      <c r="B275" s="57">
        <v>39068</v>
      </c>
      <c r="C275" s="60">
        <v>512000</v>
      </c>
      <c r="D275" s="58">
        <f>VLOOKUP(C275,Comptes!$A$2:$B$44,2,FALSE)</f>
        <v>0</v>
      </c>
      <c r="E275" s="59">
        <v>708000</v>
      </c>
      <c r="F275" s="58">
        <f>VLOOKUP(E275,Comptes!$A$2:$B$44,2,FALSE)</f>
        <v>0</v>
      </c>
      <c r="G275" s="59" t="s">
        <v>170</v>
      </c>
      <c r="H275" s="59" t="s">
        <v>222</v>
      </c>
      <c r="I275" s="61">
        <v>9</v>
      </c>
      <c r="J275" s="35"/>
      <c r="K275" s="54">
        <f t="shared" si="0"/>
        <v>0</v>
      </c>
      <c r="L275" s="54">
        <f t="shared" si="1"/>
        <v>0</v>
      </c>
    </row>
    <row r="276" spans="1:12" ht="13.5" customHeight="1">
      <c r="A276" s="35">
        <v>267074</v>
      </c>
      <c r="B276" s="57">
        <v>39068</v>
      </c>
      <c r="C276" s="60">
        <v>511200</v>
      </c>
      <c r="D276" s="58">
        <f>VLOOKUP(C276,Comptes!$A$2:$B$44,2,FALSE)</f>
        <v>0</v>
      </c>
      <c r="E276" s="59">
        <v>512000</v>
      </c>
      <c r="F276" s="58">
        <f>VLOOKUP(E276,Comptes!$A$2:$B$44,2,FALSE)</f>
        <v>0</v>
      </c>
      <c r="G276" s="59" t="s">
        <v>170</v>
      </c>
      <c r="H276" s="59" t="s">
        <v>222</v>
      </c>
      <c r="I276" s="61">
        <v>30</v>
      </c>
      <c r="J276" s="53"/>
      <c r="K276" s="54">
        <f t="shared" si="0"/>
        <v>0</v>
      </c>
      <c r="L276" s="54">
        <f t="shared" si="1"/>
        <v>1</v>
      </c>
    </row>
    <row r="277" spans="1:12" ht="13.5" customHeight="1">
      <c r="A277" s="35">
        <v>267074</v>
      </c>
      <c r="B277" s="57">
        <v>39068</v>
      </c>
      <c r="C277" s="60">
        <v>511200</v>
      </c>
      <c r="D277" s="58">
        <f>VLOOKUP(C277,Comptes!$A$2:$B$44,2,FALSE)</f>
        <v>0</v>
      </c>
      <c r="E277" s="59">
        <v>512000</v>
      </c>
      <c r="F277" s="58">
        <f>VLOOKUP(E277,Comptes!$A$2:$B$44,2,FALSE)</f>
        <v>0</v>
      </c>
      <c r="G277" s="59" t="s">
        <v>170</v>
      </c>
      <c r="H277" s="59" t="s">
        <v>222</v>
      </c>
      <c r="I277" s="61">
        <v>30</v>
      </c>
      <c r="J277" s="53"/>
      <c r="K277" s="54">
        <f t="shared" si="0"/>
        <v>0</v>
      </c>
      <c r="L277" s="54">
        <f t="shared" si="1"/>
        <v>1</v>
      </c>
    </row>
    <row r="278" spans="1:12" ht="13.5" customHeight="1">
      <c r="A278" s="35">
        <v>267074</v>
      </c>
      <c r="B278" s="57">
        <v>39068</v>
      </c>
      <c r="C278" s="60">
        <v>511200</v>
      </c>
      <c r="D278" s="58">
        <f>VLOOKUP(C278,Comptes!$A$2:$B$44,2,FALSE)</f>
        <v>0</v>
      </c>
      <c r="E278" s="59">
        <v>512000</v>
      </c>
      <c r="F278" s="58">
        <f>VLOOKUP(E278,Comptes!$A$2:$B$44,2,FALSE)</f>
        <v>0</v>
      </c>
      <c r="G278" s="59" t="s">
        <v>170</v>
      </c>
      <c r="H278" s="59" t="s">
        <v>222</v>
      </c>
      <c r="I278" s="61">
        <v>97</v>
      </c>
      <c r="J278" s="53"/>
      <c r="K278" s="54">
        <f t="shared" si="0"/>
        <v>0</v>
      </c>
      <c r="L278" s="54">
        <f t="shared" si="1"/>
        <v>1</v>
      </c>
    </row>
    <row r="279" spans="1:12" ht="13.5" customHeight="1">
      <c r="A279" s="35">
        <v>267074</v>
      </c>
      <c r="B279" s="57">
        <v>39068</v>
      </c>
      <c r="C279" s="60">
        <v>530000</v>
      </c>
      <c r="D279" s="58">
        <f>VLOOKUP(C279,Comptes!$A$2:$B$44,2,FALSE)</f>
        <v>0</v>
      </c>
      <c r="E279" s="59">
        <v>754000</v>
      </c>
      <c r="F279" s="58">
        <f>VLOOKUP(E279,Comptes!$A$2:$B$44,2,FALSE)</f>
        <v>0</v>
      </c>
      <c r="G279" s="59"/>
      <c r="H279" s="63"/>
      <c r="I279" s="61">
        <v>1</v>
      </c>
      <c r="J279" s="35"/>
      <c r="K279" s="54">
        <f t="shared" si="0"/>
        <v>1</v>
      </c>
      <c r="L279" s="54">
        <f t="shared" si="1"/>
        <v>0</v>
      </c>
    </row>
    <row r="280" spans="1:12" ht="13.5" customHeight="1">
      <c r="A280" s="35">
        <v>267074</v>
      </c>
      <c r="B280" s="57">
        <v>39068</v>
      </c>
      <c r="C280" s="60">
        <v>530000</v>
      </c>
      <c r="D280" s="58">
        <f>VLOOKUP(C280,Comptes!$A$2:$B$44,2,FALSE)</f>
        <v>0</v>
      </c>
      <c r="E280" s="59">
        <v>706230</v>
      </c>
      <c r="F280" s="58">
        <f>VLOOKUP(E280,Comptes!$A$2:$B$44,2,FALSE)</f>
        <v>0</v>
      </c>
      <c r="G280" s="59"/>
      <c r="H280" s="63"/>
      <c r="I280" s="61">
        <v>145</v>
      </c>
      <c r="J280" s="35"/>
      <c r="K280" s="54">
        <f t="shared" si="0"/>
        <v>1</v>
      </c>
      <c r="L280" s="54">
        <f t="shared" si="1"/>
        <v>0</v>
      </c>
    </row>
    <row r="281" spans="1:12" ht="13.5" customHeight="1">
      <c r="A281" s="35">
        <v>267074</v>
      </c>
      <c r="B281" s="57">
        <v>39068</v>
      </c>
      <c r="C281" s="60">
        <v>530000</v>
      </c>
      <c r="D281" s="58">
        <f>VLOOKUP(C281,Comptes!$A$2:$B$44,2,FALSE)</f>
        <v>0</v>
      </c>
      <c r="E281" s="59">
        <v>706210</v>
      </c>
      <c r="F281" s="58">
        <f>VLOOKUP(E281,Comptes!$A$2:$B$44,2,FALSE)</f>
        <v>0</v>
      </c>
      <c r="G281" s="59"/>
      <c r="H281" s="63"/>
      <c r="I281" s="61">
        <v>131</v>
      </c>
      <c r="J281" s="35"/>
      <c r="K281" s="54">
        <f t="shared" si="0"/>
        <v>1</v>
      </c>
      <c r="L281" s="54">
        <f t="shared" si="1"/>
        <v>0</v>
      </c>
    </row>
    <row r="282" spans="1:12" ht="13.5" customHeight="1">
      <c r="A282" s="35">
        <v>267074</v>
      </c>
      <c r="B282" s="57">
        <v>39068</v>
      </c>
      <c r="C282" s="60">
        <v>530000</v>
      </c>
      <c r="D282" s="58">
        <f>VLOOKUP(C282,Comptes!$A$2:$B$44,2,FALSE)</f>
        <v>0</v>
      </c>
      <c r="E282" s="59">
        <v>706220</v>
      </c>
      <c r="F282" s="58">
        <f>VLOOKUP(E282,Comptes!$A$2:$B$44,2,FALSE)</f>
        <v>0</v>
      </c>
      <c r="G282" s="59"/>
      <c r="H282" s="63"/>
      <c r="I282" s="61">
        <v>106</v>
      </c>
      <c r="J282" s="35"/>
      <c r="K282" s="54">
        <f t="shared" si="0"/>
        <v>1</v>
      </c>
      <c r="L282" s="54">
        <f t="shared" si="1"/>
        <v>0</v>
      </c>
    </row>
    <row r="283" spans="1:12" ht="13.5" customHeight="1">
      <c r="A283" s="35">
        <v>267074</v>
      </c>
      <c r="B283" s="57">
        <v>39068</v>
      </c>
      <c r="C283" s="60">
        <v>530000</v>
      </c>
      <c r="D283" s="58">
        <f>VLOOKUP(C283,Comptes!$A$2:$B$44,2,FALSE)</f>
        <v>0</v>
      </c>
      <c r="E283" s="59">
        <v>756000</v>
      </c>
      <c r="F283" s="58">
        <f>VLOOKUP(E283,Comptes!$A$2:$B$44,2,FALSE)</f>
        <v>0</v>
      </c>
      <c r="G283" s="59"/>
      <c r="H283" s="63"/>
      <c r="I283" s="61">
        <v>1</v>
      </c>
      <c r="J283" s="35"/>
      <c r="K283" s="54">
        <f t="shared" si="0"/>
        <v>1</v>
      </c>
      <c r="L283" s="54">
        <f t="shared" si="1"/>
        <v>0</v>
      </c>
    </row>
    <row r="284" spans="1:12" ht="13.5" customHeight="1">
      <c r="A284" s="35">
        <v>267074</v>
      </c>
      <c r="B284" s="57">
        <v>39068</v>
      </c>
      <c r="C284" s="60">
        <v>530000</v>
      </c>
      <c r="D284" s="58">
        <f>VLOOKUP(C284,Comptes!$A$2:$B$44,2,FALSE)</f>
        <v>0</v>
      </c>
      <c r="E284" s="59">
        <v>706230</v>
      </c>
      <c r="F284" s="58">
        <f>VLOOKUP(E284,Comptes!$A$2:$B$44,2,FALSE)</f>
        <v>0</v>
      </c>
      <c r="G284" s="59"/>
      <c r="H284" s="63"/>
      <c r="I284" s="61">
        <v>25</v>
      </c>
      <c r="J284" s="35"/>
      <c r="K284" s="54">
        <f t="shared" si="0"/>
        <v>1</v>
      </c>
      <c r="L284" s="54">
        <f t="shared" si="1"/>
        <v>0</v>
      </c>
    </row>
    <row r="285" spans="1:12" ht="13.5" customHeight="1">
      <c r="A285" s="35">
        <v>267074</v>
      </c>
      <c r="B285" s="57">
        <v>39068</v>
      </c>
      <c r="C285" s="60">
        <v>530000</v>
      </c>
      <c r="D285" s="58">
        <f>VLOOKUP(C285,Comptes!$A$2:$B$44,2,FALSE)</f>
        <v>0</v>
      </c>
      <c r="E285" s="59">
        <v>708000</v>
      </c>
      <c r="F285" s="58">
        <f>VLOOKUP(E285,Comptes!$A$2:$B$44,2,FALSE)</f>
        <v>0</v>
      </c>
      <c r="G285" s="59"/>
      <c r="H285" s="63"/>
      <c r="I285" s="61">
        <v>10</v>
      </c>
      <c r="J285" s="35"/>
      <c r="K285" s="54">
        <f t="shared" si="0"/>
        <v>1</v>
      </c>
      <c r="L285" s="54">
        <f t="shared" si="1"/>
        <v>0</v>
      </c>
    </row>
    <row r="286" spans="1:12" ht="13.5" customHeight="1">
      <c r="A286" s="35">
        <v>267075</v>
      </c>
      <c r="B286" s="57"/>
      <c r="C286" s="60"/>
      <c r="D286" s="58"/>
      <c r="E286" s="59"/>
      <c r="F286" s="58"/>
      <c r="G286" s="59" t="s">
        <v>232</v>
      </c>
      <c r="H286" s="63"/>
      <c r="I286" s="61"/>
      <c r="J286" s="35"/>
      <c r="K286" s="54">
        <f t="shared" si="0"/>
        <v>0</v>
      </c>
      <c r="L286" s="54">
        <f t="shared" si="1"/>
        <v>0</v>
      </c>
    </row>
    <row r="287" spans="1:12" ht="13.5" customHeight="1">
      <c r="A287" s="35">
        <v>267075</v>
      </c>
      <c r="B287" s="57">
        <v>39057</v>
      </c>
      <c r="C287" s="60">
        <v>641000</v>
      </c>
      <c r="D287" s="58">
        <f>VLOOKUP(C287,Comptes!$A$2:$B$44,2,FALSE)</f>
        <v>0</v>
      </c>
      <c r="E287" s="59">
        <v>512000</v>
      </c>
      <c r="F287" s="58">
        <f>VLOOKUP(E287,Comptes!$A$2:$B$44,2,FALSE)</f>
        <v>0</v>
      </c>
      <c r="G287" s="59" t="s">
        <v>233</v>
      </c>
      <c r="H287" s="59" t="s">
        <v>209</v>
      </c>
      <c r="I287" s="61">
        <v>505.44</v>
      </c>
      <c r="J287" s="35"/>
      <c r="K287" s="54">
        <f t="shared" si="0"/>
        <v>0</v>
      </c>
      <c r="L287" s="54">
        <f t="shared" si="1"/>
        <v>0</v>
      </c>
    </row>
    <row r="288" spans="1:12" ht="13.5" customHeight="1">
      <c r="A288" s="35">
        <v>267075</v>
      </c>
      <c r="B288" s="57">
        <v>39090</v>
      </c>
      <c r="C288" s="60">
        <v>645000</v>
      </c>
      <c r="D288" s="58">
        <f>VLOOKUP(C288,Comptes!$A$2:$B$44,2,FALSE)</f>
        <v>0</v>
      </c>
      <c r="E288" s="59">
        <v>512000</v>
      </c>
      <c r="F288" s="58">
        <f>VLOOKUP(E288,Comptes!$A$2:$B$44,2,FALSE)</f>
        <v>0</v>
      </c>
      <c r="G288" s="59" t="s">
        <v>178</v>
      </c>
      <c r="H288" s="59" t="s">
        <v>234</v>
      </c>
      <c r="I288" s="61">
        <v>260</v>
      </c>
      <c r="J288" s="35"/>
      <c r="K288" s="54">
        <f t="shared" si="0"/>
        <v>0</v>
      </c>
      <c r="L288" s="54">
        <f t="shared" si="1"/>
        <v>0</v>
      </c>
    </row>
    <row r="289" spans="1:12" ht="13.5" customHeight="1">
      <c r="A289" s="35">
        <v>267076</v>
      </c>
      <c r="B289" s="57">
        <v>39056</v>
      </c>
      <c r="C289" s="60">
        <v>512000</v>
      </c>
      <c r="D289" s="58">
        <f>VLOOKUP(C289,Comptes!$A$2:$B$44,2,FALSE)</f>
        <v>0</v>
      </c>
      <c r="E289" s="59">
        <v>754000</v>
      </c>
      <c r="F289" s="58">
        <f>VLOOKUP(E289,Comptes!$A$2:$B$44,2,FALSE)</f>
        <v>0</v>
      </c>
      <c r="G289" s="59" t="s">
        <v>171</v>
      </c>
      <c r="H289" s="59" t="s">
        <v>209</v>
      </c>
      <c r="I289" s="61">
        <v>150</v>
      </c>
      <c r="J289" s="35"/>
      <c r="K289" s="54">
        <f t="shared" si="0"/>
        <v>0</v>
      </c>
      <c r="L289" s="54">
        <f t="shared" si="1"/>
        <v>0</v>
      </c>
    </row>
    <row r="290" spans="1:12" ht="13.5" customHeight="1">
      <c r="A290" s="35">
        <v>267076</v>
      </c>
      <c r="B290" s="57">
        <v>39059</v>
      </c>
      <c r="C290" s="60">
        <v>512000</v>
      </c>
      <c r="D290" s="58">
        <f>VLOOKUP(C290,Comptes!$A$2:$B$44,2,FALSE)</f>
        <v>0</v>
      </c>
      <c r="E290" s="59">
        <v>754000</v>
      </c>
      <c r="F290" s="58">
        <f>VLOOKUP(E290,Comptes!$A$2:$B$44,2,FALSE)</f>
        <v>0</v>
      </c>
      <c r="G290" s="59" t="s">
        <v>171</v>
      </c>
      <c r="H290" s="59" t="s">
        <v>209</v>
      </c>
      <c r="I290" s="61">
        <v>15</v>
      </c>
      <c r="J290" s="35"/>
      <c r="K290" s="54">
        <f t="shared" si="0"/>
        <v>0</v>
      </c>
      <c r="L290" s="54">
        <f t="shared" si="1"/>
        <v>0</v>
      </c>
    </row>
    <row r="291" spans="1:12" ht="13.5" customHeight="1">
      <c r="A291" s="35">
        <v>267076</v>
      </c>
      <c r="B291" s="57">
        <v>39066</v>
      </c>
      <c r="C291" s="60">
        <v>512000</v>
      </c>
      <c r="D291" s="58">
        <f>VLOOKUP(C291,Comptes!$A$2:$B$44,2,FALSE)</f>
        <v>0</v>
      </c>
      <c r="E291" s="59">
        <v>754000</v>
      </c>
      <c r="F291" s="58">
        <f>VLOOKUP(E291,Comptes!$A$2:$B$44,2,FALSE)</f>
        <v>0</v>
      </c>
      <c r="G291" s="59" t="s">
        <v>171</v>
      </c>
      <c r="H291" s="59" t="s">
        <v>209</v>
      </c>
      <c r="I291" s="61">
        <v>30</v>
      </c>
      <c r="J291" s="35"/>
      <c r="K291" s="54">
        <f t="shared" si="0"/>
        <v>0</v>
      </c>
      <c r="L291" s="54">
        <f t="shared" si="1"/>
        <v>0</v>
      </c>
    </row>
    <row r="292" spans="1:12" ht="13.5" customHeight="1">
      <c r="A292" s="35">
        <v>267077</v>
      </c>
      <c r="B292" s="57">
        <v>39057</v>
      </c>
      <c r="C292" s="60">
        <v>641000</v>
      </c>
      <c r="D292" s="58">
        <f>VLOOKUP(C292,Comptes!$A$2:$B$44,2,FALSE)</f>
        <v>0</v>
      </c>
      <c r="E292" s="59">
        <v>512000</v>
      </c>
      <c r="F292" s="58">
        <f>VLOOKUP(E292,Comptes!$A$2:$B$44,2,FALSE)</f>
        <v>0</v>
      </c>
      <c r="G292" s="59" t="s">
        <v>235</v>
      </c>
      <c r="H292" s="59" t="s">
        <v>234</v>
      </c>
      <c r="I292" s="61">
        <v>514.8</v>
      </c>
      <c r="J292" s="35"/>
      <c r="K292" s="54">
        <f t="shared" si="0"/>
        <v>0</v>
      </c>
      <c r="L292" s="54">
        <f t="shared" si="1"/>
        <v>0</v>
      </c>
    </row>
    <row r="293" spans="1:12" ht="13.5" customHeight="1">
      <c r="A293" s="35">
        <v>267077</v>
      </c>
      <c r="B293" s="57">
        <v>39090</v>
      </c>
      <c r="C293" s="60">
        <v>645000</v>
      </c>
      <c r="D293" s="58">
        <f>VLOOKUP(C293,Comptes!$A$2:$B$44,2,FALSE)</f>
        <v>0</v>
      </c>
      <c r="E293" s="59">
        <v>512000</v>
      </c>
      <c r="F293" s="58">
        <f>VLOOKUP(E293,Comptes!$A$2:$B$44,2,FALSE)</f>
        <v>0</v>
      </c>
      <c r="G293" s="59" t="s">
        <v>178</v>
      </c>
      <c r="H293" s="59" t="s">
        <v>236</v>
      </c>
      <c r="I293" s="61">
        <v>273</v>
      </c>
      <c r="J293" s="35"/>
      <c r="K293" s="54">
        <f t="shared" si="0"/>
        <v>0</v>
      </c>
      <c r="L293" s="54">
        <f t="shared" si="1"/>
        <v>0</v>
      </c>
    </row>
    <row r="294" spans="1:12" ht="13.5" customHeight="1">
      <c r="A294" s="35">
        <v>267078</v>
      </c>
      <c r="B294" s="57">
        <v>39079</v>
      </c>
      <c r="C294" s="60">
        <v>606700</v>
      </c>
      <c r="D294" s="58">
        <f>VLOOKUP(C294,Comptes!$A$2:$B$44,2,FALSE)</f>
        <v>0</v>
      </c>
      <c r="E294" s="59">
        <v>512000</v>
      </c>
      <c r="F294" s="58">
        <f>VLOOKUP(E294,Comptes!$A$2:$B$44,2,FALSE)</f>
        <v>0</v>
      </c>
      <c r="G294" s="59" t="s">
        <v>237</v>
      </c>
      <c r="H294" s="59" t="s">
        <v>234</v>
      </c>
      <c r="I294" s="61">
        <v>421.17</v>
      </c>
      <c r="J294" s="35"/>
      <c r="K294" s="54">
        <f t="shared" si="0"/>
        <v>0</v>
      </c>
      <c r="L294" s="54">
        <f t="shared" si="1"/>
        <v>0</v>
      </c>
    </row>
    <row r="295" spans="1:12" ht="13.5" customHeight="1">
      <c r="A295" s="35">
        <v>267078</v>
      </c>
      <c r="B295" s="57">
        <v>39079</v>
      </c>
      <c r="C295" s="60">
        <v>615000</v>
      </c>
      <c r="D295" s="58">
        <f>VLOOKUP(C295,Comptes!$A$2:$B$44,2,FALSE)</f>
        <v>0</v>
      </c>
      <c r="E295" s="59">
        <v>512000</v>
      </c>
      <c r="F295" s="58">
        <f>VLOOKUP(E295,Comptes!$A$2:$B$44,2,FALSE)</f>
        <v>0</v>
      </c>
      <c r="G295" s="59" t="s">
        <v>238</v>
      </c>
      <c r="H295" s="59" t="s">
        <v>234</v>
      </c>
      <c r="I295" s="61">
        <v>26.28</v>
      </c>
      <c r="J295" s="35"/>
      <c r="K295" s="54">
        <f t="shared" si="0"/>
        <v>0</v>
      </c>
      <c r="L295" s="54">
        <f t="shared" si="1"/>
        <v>0</v>
      </c>
    </row>
    <row r="296" spans="1:12" ht="13.5" customHeight="1">
      <c r="A296" s="35">
        <v>267078</v>
      </c>
      <c r="B296" s="57">
        <v>39079</v>
      </c>
      <c r="C296" s="60">
        <v>606700</v>
      </c>
      <c r="D296" s="58">
        <f>VLOOKUP(C296,Comptes!$A$2:$B$44,2,FALSE)</f>
        <v>0</v>
      </c>
      <c r="E296" s="59">
        <v>530000</v>
      </c>
      <c r="F296" s="58">
        <f>VLOOKUP(E296,Comptes!$A$2:$B$44,2,FALSE)</f>
        <v>0</v>
      </c>
      <c r="G296" s="59"/>
      <c r="H296" s="63"/>
      <c r="I296" s="61">
        <v>22.5</v>
      </c>
      <c r="J296" s="35"/>
      <c r="K296" s="54">
        <f t="shared" si="0"/>
        <v>1</v>
      </c>
      <c r="L296" s="54">
        <f t="shared" si="1"/>
        <v>0</v>
      </c>
    </row>
    <row r="297" spans="1:12" ht="13.5" customHeight="1">
      <c r="A297" s="35">
        <v>267079</v>
      </c>
      <c r="B297" s="57">
        <v>39082</v>
      </c>
      <c r="C297" s="60">
        <v>613100</v>
      </c>
      <c r="D297" s="58">
        <f>VLOOKUP(C297,Comptes!$A$2:$B$44,2,FALSE)</f>
        <v>0</v>
      </c>
      <c r="E297" s="62">
        <v>512000</v>
      </c>
      <c r="F297" s="58">
        <f>VLOOKUP(E297,Comptes!$A$2:$B$44,2,FALSE)</f>
        <v>0</v>
      </c>
      <c r="G297" s="59" t="s">
        <v>239</v>
      </c>
      <c r="H297" s="59" t="s">
        <v>234</v>
      </c>
      <c r="I297" s="61">
        <v>835</v>
      </c>
      <c r="J297" s="66"/>
      <c r="K297" s="54">
        <f t="shared" si="0"/>
        <v>0</v>
      </c>
      <c r="L297" s="54">
        <f t="shared" si="1"/>
        <v>0</v>
      </c>
    </row>
    <row r="298" spans="1:12" ht="13.5" customHeight="1">
      <c r="A298" s="35">
        <v>267079</v>
      </c>
      <c r="B298" s="57">
        <v>39082</v>
      </c>
      <c r="C298" s="60">
        <v>625000</v>
      </c>
      <c r="D298" s="58">
        <f>VLOOKUP(C298,Comptes!$A$2:$B$44,2,FALSE)</f>
        <v>0</v>
      </c>
      <c r="E298" s="62">
        <v>512000</v>
      </c>
      <c r="F298" s="58">
        <f>VLOOKUP(E298,Comptes!$A$2:$B$44,2,FALSE)</f>
        <v>0</v>
      </c>
      <c r="G298" s="59" t="s">
        <v>239</v>
      </c>
      <c r="H298" s="59" t="s">
        <v>234</v>
      </c>
      <c r="I298" s="61">
        <v>160</v>
      </c>
      <c r="J298" s="66"/>
      <c r="K298" s="54">
        <f t="shared" si="0"/>
        <v>0</v>
      </c>
      <c r="L298" s="54">
        <f t="shared" si="1"/>
        <v>0</v>
      </c>
    </row>
    <row r="299" spans="1:12" ht="13.5" customHeight="1">
      <c r="A299" s="35">
        <v>267079</v>
      </c>
      <c r="B299" s="57">
        <v>39082</v>
      </c>
      <c r="C299" s="60">
        <v>606400</v>
      </c>
      <c r="D299" s="58">
        <f>VLOOKUP(C299,Comptes!$A$2:$B$44,2,FALSE)</f>
        <v>0</v>
      </c>
      <c r="E299" s="62">
        <v>530000</v>
      </c>
      <c r="F299" s="58">
        <f>VLOOKUP(E299,Comptes!$A$2:$B$44,2,FALSE)</f>
        <v>0</v>
      </c>
      <c r="G299" s="59"/>
      <c r="H299" s="63"/>
      <c r="I299" s="61">
        <v>84.49</v>
      </c>
      <c r="J299" s="66"/>
      <c r="K299" s="54"/>
      <c r="L299" s="54"/>
    </row>
    <row r="300" spans="1:12" ht="13.5" customHeight="1">
      <c r="A300" s="35">
        <v>267079</v>
      </c>
      <c r="B300" s="57">
        <v>39082</v>
      </c>
      <c r="C300" s="60">
        <v>622600</v>
      </c>
      <c r="D300" s="58">
        <f>VLOOKUP(C300,Comptes!$A$2:$B$44,2,FALSE)</f>
        <v>0</v>
      </c>
      <c r="E300" s="62">
        <v>530000</v>
      </c>
      <c r="F300" s="58">
        <f>VLOOKUP(E300,Comptes!$A$2:$B$44,2,FALSE)</f>
        <v>0</v>
      </c>
      <c r="G300" s="59"/>
      <c r="H300" s="63"/>
      <c r="I300" s="61">
        <v>380</v>
      </c>
      <c r="J300" s="66" t="s">
        <v>207</v>
      </c>
      <c r="K300" s="54"/>
      <c r="L300" s="54"/>
    </row>
    <row r="301" spans="1:12" ht="13.5" customHeight="1">
      <c r="A301" s="35">
        <v>267080</v>
      </c>
      <c r="B301" s="57">
        <v>39083</v>
      </c>
      <c r="C301" s="60">
        <v>512000</v>
      </c>
      <c r="D301" s="58">
        <f>VLOOKUP(C301,Comptes!$A$2:$B$44,2,FALSE)</f>
        <v>0</v>
      </c>
      <c r="E301" s="59">
        <v>511200</v>
      </c>
      <c r="F301" s="58">
        <f>VLOOKUP(E301,Comptes!$A$2:$B$44,2,FALSE)</f>
        <v>0</v>
      </c>
      <c r="G301" s="59" t="s">
        <v>170</v>
      </c>
      <c r="H301" s="59" t="s">
        <v>234</v>
      </c>
      <c r="I301" s="61">
        <v>30</v>
      </c>
      <c r="J301" s="53"/>
      <c r="K301" s="54">
        <f aca="true" t="shared" si="2" ref="K301:K610">IF(OR(C301=530000,E301=530000),1,0)</f>
        <v>0</v>
      </c>
      <c r="L301" s="54">
        <f aca="true" t="shared" si="3" ref="L301:L610">IF(OR(C301=511200,E301=511200),1,0)</f>
        <v>1</v>
      </c>
    </row>
    <row r="302" spans="1:12" ht="13.5" customHeight="1">
      <c r="A302" s="35">
        <v>267080</v>
      </c>
      <c r="B302" s="57">
        <v>39083</v>
      </c>
      <c r="C302" s="60">
        <v>512000</v>
      </c>
      <c r="D302" s="58">
        <f>VLOOKUP(C302,Comptes!$A$2:$B$44,2,FALSE)</f>
        <v>0</v>
      </c>
      <c r="E302" s="59">
        <v>511200</v>
      </c>
      <c r="F302" s="58">
        <f>VLOOKUP(E302,Comptes!$A$2:$B$44,2,FALSE)</f>
        <v>0</v>
      </c>
      <c r="G302" s="59" t="s">
        <v>170</v>
      </c>
      <c r="H302" s="59" t="s">
        <v>234</v>
      </c>
      <c r="I302" s="61">
        <v>47</v>
      </c>
      <c r="J302" s="53"/>
      <c r="K302" s="54">
        <f t="shared" si="2"/>
        <v>0</v>
      </c>
      <c r="L302" s="54">
        <f t="shared" si="3"/>
        <v>1</v>
      </c>
    </row>
    <row r="303" spans="1:12" ht="13.5" customHeight="1">
      <c r="A303" s="35">
        <v>267080</v>
      </c>
      <c r="B303" s="57">
        <v>39083</v>
      </c>
      <c r="C303" s="60">
        <v>512000</v>
      </c>
      <c r="D303" s="58">
        <f>VLOOKUP(C303,Comptes!$A$2:$B$44,2,FALSE)</f>
        <v>0</v>
      </c>
      <c r="E303" s="59">
        <v>511200</v>
      </c>
      <c r="F303" s="58">
        <f>VLOOKUP(E303,Comptes!$A$2:$B$44,2,FALSE)</f>
        <v>0</v>
      </c>
      <c r="G303" s="59" t="s">
        <v>170</v>
      </c>
      <c r="H303" s="59" t="s">
        <v>234</v>
      </c>
      <c r="I303" s="61">
        <v>97</v>
      </c>
      <c r="J303" s="53"/>
      <c r="K303" s="54">
        <f t="shared" si="2"/>
        <v>0</v>
      </c>
      <c r="L303" s="54">
        <f t="shared" si="3"/>
        <v>1</v>
      </c>
    </row>
    <row r="304" spans="1:12" ht="13.5" customHeight="1">
      <c r="A304" s="35">
        <v>267080</v>
      </c>
      <c r="B304" s="57">
        <v>39083</v>
      </c>
      <c r="C304" s="60">
        <v>512000</v>
      </c>
      <c r="D304" s="58">
        <f>VLOOKUP(C304,Comptes!$A$2:$B$44,2,FALSE)</f>
        <v>0</v>
      </c>
      <c r="E304" s="60">
        <v>706230</v>
      </c>
      <c r="F304" s="58">
        <f>VLOOKUP(E304,Comptes!$A$2:$B$44,2,FALSE)</f>
        <v>0</v>
      </c>
      <c r="G304" s="59" t="s">
        <v>170</v>
      </c>
      <c r="H304" s="59" t="s">
        <v>234</v>
      </c>
      <c r="I304" s="61">
        <v>30</v>
      </c>
      <c r="J304" s="66"/>
      <c r="K304" s="54">
        <f t="shared" si="2"/>
        <v>0</v>
      </c>
      <c r="L304" s="54">
        <f t="shared" si="3"/>
        <v>0</v>
      </c>
    </row>
    <row r="305" spans="1:12" ht="13.5" customHeight="1">
      <c r="A305" s="35">
        <v>267080</v>
      </c>
      <c r="B305" s="57">
        <v>39083</v>
      </c>
      <c r="C305" s="60">
        <v>512000</v>
      </c>
      <c r="D305" s="58">
        <f>VLOOKUP(C305,Comptes!$A$2:$B$44,2,FALSE)</f>
        <v>0</v>
      </c>
      <c r="E305" s="60">
        <v>706220</v>
      </c>
      <c r="F305" s="58">
        <f>VLOOKUP(E305,Comptes!$A$2:$B$44,2,FALSE)</f>
        <v>0</v>
      </c>
      <c r="G305" s="59" t="s">
        <v>170</v>
      </c>
      <c r="H305" s="59" t="s">
        <v>234</v>
      </c>
      <c r="I305" s="61">
        <v>7</v>
      </c>
      <c r="J305" s="66"/>
      <c r="K305" s="54">
        <f t="shared" si="2"/>
        <v>0</v>
      </c>
      <c r="L305" s="54">
        <f t="shared" si="3"/>
        <v>0</v>
      </c>
    </row>
    <row r="306" spans="1:12" ht="13.5" customHeight="1">
      <c r="A306" s="35">
        <v>267080</v>
      </c>
      <c r="B306" s="57">
        <v>39083</v>
      </c>
      <c r="C306" s="60">
        <v>512000</v>
      </c>
      <c r="D306" s="58">
        <f>VLOOKUP(C306,Comptes!$A$2:$B$44,2,FALSE)</f>
        <v>0</v>
      </c>
      <c r="E306" s="60">
        <v>706230</v>
      </c>
      <c r="F306" s="58">
        <f>VLOOKUP(E306,Comptes!$A$2:$B$44,2,FALSE)</f>
        <v>0</v>
      </c>
      <c r="G306" s="59" t="s">
        <v>170</v>
      </c>
      <c r="H306" s="59" t="s">
        <v>234</v>
      </c>
      <c r="I306" s="61">
        <v>25</v>
      </c>
      <c r="J306" s="66"/>
      <c r="K306" s="54">
        <f t="shared" si="2"/>
        <v>0</v>
      </c>
      <c r="L306" s="54">
        <f t="shared" si="3"/>
        <v>0</v>
      </c>
    </row>
    <row r="307" spans="1:12" ht="13.5" customHeight="1">
      <c r="A307" s="35">
        <v>267080</v>
      </c>
      <c r="B307" s="57">
        <v>39083</v>
      </c>
      <c r="C307" s="60">
        <v>512000</v>
      </c>
      <c r="D307" s="58">
        <f>VLOOKUP(C307,Comptes!$A$2:$B$44,2,FALSE)</f>
        <v>0</v>
      </c>
      <c r="E307" s="60">
        <v>756000</v>
      </c>
      <c r="F307" s="58">
        <f>VLOOKUP(E307,Comptes!$A$2:$B$44,2,FALSE)</f>
        <v>0</v>
      </c>
      <c r="G307" s="59" t="s">
        <v>170</v>
      </c>
      <c r="H307" s="59" t="s">
        <v>234</v>
      </c>
      <c r="I307" s="61">
        <v>84</v>
      </c>
      <c r="J307" s="66"/>
      <c r="K307" s="54">
        <f t="shared" si="2"/>
        <v>0</v>
      </c>
      <c r="L307" s="54">
        <f t="shared" si="3"/>
        <v>0</v>
      </c>
    </row>
    <row r="308" spans="1:12" ht="13.5" customHeight="1">
      <c r="A308" s="35">
        <v>267080</v>
      </c>
      <c r="B308" s="57">
        <v>39083</v>
      </c>
      <c r="C308" s="60">
        <v>512000</v>
      </c>
      <c r="D308" s="58">
        <f>VLOOKUP(C308,Comptes!$A$2:$B$44,2,FALSE)</f>
        <v>0</v>
      </c>
      <c r="E308" s="60">
        <v>708000</v>
      </c>
      <c r="F308" s="58">
        <f>VLOOKUP(E308,Comptes!$A$2:$B$44,2,FALSE)</f>
        <v>0</v>
      </c>
      <c r="G308" s="59" t="s">
        <v>170</v>
      </c>
      <c r="H308" s="59" t="s">
        <v>234</v>
      </c>
      <c r="I308" s="61">
        <v>27</v>
      </c>
      <c r="J308" s="66"/>
      <c r="K308" s="54">
        <f t="shared" si="2"/>
        <v>0</v>
      </c>
      <c r="L308" s="54">
        <f t="shared" si="3"/>
        <v>0</v>
      </c>
    </row>
    <row r="309" spans="1:12" ht="13.5" customHeight="1">
      <c r="A309" s="35">
        <v>267080</v>
      </c>
      <c r="B309" s="57">
        <v>39083</v>
      </c>
      <c r="C309" s="60">
        <v>512000</v>
      </c>
      <c r="D309" s="58">
        <f>VLOOKUP(C309,Comptes!$A$2:$B$44,2,FALSE)</f>
        <v>0</v>
      </c>
      <c r="E309" s="62">
        <v>706230</v>
      </c>
      <c r="F309" s="58">
        <f>VLOOKUP(E309,Comptes!$A$2:$B$44,2,FALSE)</f>
        <v>0</v>
      </c>
      <c r="G309" s="59" t="s">
        <v>170</v>
      </c>
      <c r="H309" s="59" t="s">
        <v>234</v>
      </c>
      <c r="I309" s="61">
        <v>2433</v>
      </c>
      <c r="J309" s="66"/>
      <c r="K309" s="54">
        <f t="shared" si="2"/>
        <v>0</v>
      </c>
      <c r="L309" s="54">
        <f t="shared" si="3"/>
        <v>0</v>
      </c>
    </row>
    <row r="310" spans="1:12" ht="13.5" customHeight="1">
      <c r="A310" s="35">
        <v>267080</v>
      </c>
      <c r="B310" s="57">
        <v>39083</v>
      </c>
      <c r="C310" s="60">
        <v>512000</v>
      </c>
      <c r="D310" s="58">
        <f>VLOOKUP(C310,Comptes!$A$2:$B$44,2,FALSE)</f>
        <v>0</v>
      </c>
      <c r="E310" s="62">
        <v>706210</v>
      </c>
      <c r="F310" s="58">
        <f>VLOOKUP(E310,Comptes!$A$2:$B$44,2,FALSE)</f>
        <v>0</v>
      </c>
      <c r="G310" s="59" t="s">
        <v>170</v>
      </c>
      <c r="H310" s="59" t="s">
        <v>234</v>
      </c>
      <c r="I310" s="61">
        <v>947</v>
      </c>
      <c r="J310" s="66"/>
      <c r="K310" s="54">
        <f t="shared" si="2"/>
        <v>0</v>
      </c>
      <c r="L310" s="54">
        <f t="shared" si="3"/>
        <v>0</v>
      </c>
    </row>
    <row r="311" spans="1:12" ht="13.5" customHeight="1">
      <c r="A311" s="35">
        <v>267080</v>
      </c>
      <c r="B311" s="57">
        <v>39083</v>
      </c>
      <c r="C311" s="60">
        <v>512000</v>
      </c>
      <c r="D311" s="58">
        <f>VLOOKUP(C311,Comptes!$A$2:$B$44,2,FALSE)</f>
        <v>0</v>
      </c>
      <c r="E311" s="62">
        <v>706220</v>
      </c>
      <c r="F311" s="58">
        <f>VLOOKUP(E311,Comptes!$A$2:$B$44,2,FALSE)</f>
        <v>0</v>
      </c>
      <c r="G311" s="59" t="s">
        <v>170</v>
      </c>
      <c r="H311" s="59" t="s">
        <v>234</v>
      </c>
      <c r="I311" s="61">
        <v>833</v>
      </c>
      <c r="J311" s="66"/>
      <c r="K311" s="54">
        <f t="shared" si="2"/>
        <v>0</v>
      </c>
      <c r="L311" s="54">
        <f t="shared" si="3"/>
        <v>0</v>
      </c>
    </row>
    <row r="312" spans="1:12" ht="13.5" customHeight="1">
      <c r="A312" s="35">
        <v>267080</v>
      </c>
      <c r="B312" s="57">
        <v>39083</v>
      </c>
      <c r="C312" s="60">
        <v>512000</v>
      </c>
      <c r="D312" s="58">
        <f>VLOOKUP(C312,Comptes!$A$2:$B$44,2,FALSE)</f>
        <v>0</v>
      </c>
      <c r="E312" s="62">
        <v>756000</v>
      </c>
      <c r="F312" s="58">
        <f>VLOOKUP(E312,Comptes!$A$2:$B$44,2,FALSE)</f>
        <v>0</v>
      </c>
      <c r="G312" s="59" t="s">
        <v>170</v>
      </c>
      <c r="H312" s="59" t="s">
        <v>234</v>
      </c>
      <c r="I312" s="61">
        <v>128</v>
      </c>
      <c r="J312" s="66"/>
      <c r="K312" s="54">
        <f t="shared" si="2"/>
        <v>0</v>
      </c>
      <c r="L312" s="54">
        <f t="shared" si="3"/>
        <v>0</v>
      </c>
    </row>
    <row r="313" spans="1:12" ht="13.5" customHeight="1">
      <c r="A313" s="35">
        <v>267080</v>
      </c>
      <c r="B313" s="57">
        <v>39083</v>
      </c>
      <c r="C313" s="60">
        <v>512000</v>
      </c>
      <c r="D313" s="58">
        <f>VLOOKUP(C313,Comptes!$A$2:$B$44,2,FALSE)</f>
        <v>0</v>
      </c>
      <c r="E313" s="62">
        <v>708000</v>
      </c>
      <c r="F313" s="58">
        <f>VLOOKUP(E313,Comptes!$A$2:$B$44,2,FALSE)</f>
        <v>0</v>
      </c>
      <c r="G313" s="59" t="s">
        <v>170</v>
      </c>
      <c r="H313" s="59" t="s">
        <v>234</v>
      </c>
      <c r="I313" s="61">
        <v>27</v>
      </c>
      <c r="J313" s="66"/>
      <c r="K313" s="54">
        <f t="shared" si="2"/>
        <v>0</v>
      </c>
      <c r="L313" s="54">
        <f t="shared" si="3"/>
        <v>0</v>
      </c>
    </row>
    <row r="314" spans="1:12" ht="13.5" customHeight="1">
      <c r="A314" s="35">
        <v>267080</v>
      </c>
      <c r="B314" s="57">
        <v>39083</v>
      </c>
      <c r="C314" s="60">
        <v>530000</v>
      </c>
      <c r="D314" s="58">
        <f>VLOOKUP(C314,Comptes!$A$2:$B$44,2,FALSE)</f>
        <v>0</v>
      </c>
      <c r="E314" s="62">
        <v>706230</v>
      </c>
      <c r="F314" s="58">
        <f>VLOOKUP(E314,Comptes!$A$2:$B$44,2,FALSE)</f>
        <v>0</v>
      </c>
      <c r="G314" s="59"/>
      <c r="H314" s="63"/>
      <c r="I314" s="61">
        <v>248</v>
      </c>
      <c r="J314" s="66"/>
      <c r="K314" s="54">
        <f t="shared" si="2"/>
        <v>1</v>
      </c>
      <c r="L314" s="54">
        <f t="shared" si="3"/>
        <v>0</v>
      </c>
    </row>
    <row r="315" spans="1:12" ht="13.5" customHeight="1">
      <c r="A315" s="35">
        <v>267080</v>
      </c>
      <c r="B315" s="57">
        <v>39083</v>
      </c>
      <c r="C315" s="60">
        <v>530000</v>
      </c>
      <c r="D315" s="58">
        <f>VLOOKUP(C315,Comptes!$A$2:$B$44,2,FALSE)</f>
        <v>0</v>
      </c>
      <c r="E315" s="62">
        <v>706210</v>
      </c>
      <c r="F315" s="58">
        <f>VLOOKUP(E315,Comptes!$A$2:$B$44,2,FALSE)</f>
        <v>0</v>
      </c>
      <c r="G315" s="59"/>
      <c r="H315" s="63"/>
      <c r="I315" s="61">
        <v>90</v>
      </c>
      <c r="J315" s="66"/>
      <c r="K315" s="54">
        <f t="shared" si="2"/>
        <v>1</v>
      </c>
      <c r="L315" s="54">
        <f t="shared" si="3"/>
        <v>0</v>
      </c>
    </row>
    <row r="316" spans="1:12" ht="13.5" customHeight="1">
      <c r="A316" s="35">
        <v>267080</v>
      </c>
      <c r="B316" s="57">
        <v>39083</v>
      </c>
      <c r="C316" s="60">
        <v>530000</v>
      </c>
      <c r="D316" s="58">
        <f>VLOOKUP(C316,Comptes!$A$2:$B$44,2,FALSE)</f>
        <v>0</v>
      </c>
      <c r="E316" s="62">
        <v>706220</v>
      </c>
      <c r="F316" s="58">
        <f>VLOOKUP(E316,Comptes!$A$2:$B$44,2,FALSE)</f>
        <v>0</v>
      </c>
      <c r="G316" s="59"/>
      <c r="H316" s="63"/>
      <c r="I316" s="61">
        <v>84</v>
      </c>
      <c r="J316" s="66"/>
      <c r="K316" s="54">
        <f t="shared" si="2"/>
        <v>1</v>
      </c>
      <c r="L316" s="54">
        <f t="shared" si="3"/>
        <v>0</v>
      </c>
    </row>
    <row r="317" spans="1:12" ht="13.5" customHeight="1">
      <c r="A317" s="35">
        <v>267080</v>
      </c>
      <c r="B317" s="57">
        <v>39083</v>
      </c>
      <c r="C317" s="60">
        <v>530000</v>
      </c>
      <c r="D317" s="58">
        <f>VLOOKUP(C317,Comptes!$A$2:$B$44,2,FALSE)</f>
        <v>0</v>
      </c>
      <c r="E317" s="62">
        <v>756000</v>
      </c>
      <c r="F317" s="58">
        <f>VLOOKUP(E317,Comptes!$A$2:$B$44,2,FALSE)</f>
        <v>0</v>
      </c>
      <c r="G317" s="59"/>
      <c r="H317" s="63"/>
      <c r="I317" s="61">
        <v>64</v>
      </c>
      <c r="J317" s="64"/>
      <c r="K317" s="54">
        <f t="shared" si="2"/>
        <v>1</v>
      </c>
      <c r="L317" s="54">
        <f t="shared" si="3"/>
        <v>0</v>
      </c>
    </row>
    <row r="318" spans="1:12" ht="13.5" customHeight="1">
      <c r="A318" s="35">
        <v>267080</v>
      </c>
      <c r="B318" s="57">
        <v>39083</v>
      </c>
      <c r="C318" s="60">
        <v>530000</v>
      </c>
      <c r="D318" s="58">
        <f>VLOOKUP(C318,Comptes!$A$2:$B$44,2,FALSE)</f>
        <v>0</v>
      </c>
      <c r="E318" s="62">
        <v>708000</v>
      </c>
      <c r="F318" s="58">
        <f>VLOOKUP(E318,Comptes!$A$2:$B$44,2,FALSE)</f>
        <v>0</v>
      </c>
      <c r="G318" s="59"/>
      <c r="H318" s="63"/>
      <c r="I318" s="61">
        <v>9</v>
      </c>
      <c r="J318" s="64"/>
      <c r="K318" s="54">
        <f t="shared" si="2"/>
        <v>1</v>
      </c>
      <c r="L318" s="54">
        <f t="shared" si="3"/>
        <v>0</v>
      </c>
    </row>
    <row r="319" spans="1:12" ht="13.5" customHeight="1">
      <c r="A319" s="35">
        <v>267080</v>
      </c>
      <c r="B319" s="57">
        <v>39083</v>
      </c>
      <c r="C319" s="60">
        <v>530000</v>
      </c>
      <c r="D319" s="58">
        <f>VLOOKUP(C319,Comptes!$A$2:$B$44,2,FALSE)</f>
        <v>0</v>
      </c>
      <c r="E319" s="62">
        <v>756000</v>
      </c>
      <c r="F319" s="58">
        <f>VLOOKUP(E319,Comptes!$A$2:$B$44,2,FALSE)</f>
        <v>0</v>
      </c>
      <c r="G319" s="59"/>
      <c r="H319" s="63"/>
      <c r="I319" s="61">
        <v>32</v>
      </c>
      <c r="J319" s="64"/>
      <c r="K319" s="54">
        <f t="shared" si="2"/>
        <v>1</v>
      </c>
      <c r="L319" s="54">
        <f t="shared" si="3"/>
        <v>0</v>
      </c>
    </row>
    <row r="320" spans="1:12" ht="13.5" customHeight="1">
      <c r="A320" s="35">
        <v>267080</v>
      </c>
      <c r="B320" s="57">
        <v>39083</v>
      </c>
      <c r="C320" s="60">
        <v>530000</v>
      </c>
      <c r="D320" s="58">
        <f>VLOOKUP(C320,Comptes!$A$2:$B$44,2,FALSE)</f>
        <v>0</v>
      </c>
      <c r="E320" s="62">
        <v>708000</v>
      </c>
      <c r="F320" s="58">
        <f>VLOOKUP(E320,Comptes!$A$2:$B$44,2,FALSE)</f>
        <v>0</v>
      </c>
      <c r="G320" s="59"/>
      <c r="H320" s="63"/>
      <c r="I320" s="61">
        <v>9</v>
      </c>
      <c r="J320" s="64"/>
      <c r="K320" s="54">
        <f t="shared" si="2"/>
        <v>1</v>
      </c>
      <c r="L320" s="54">
        <f t="shared" si="3"/>
        <v>0</v>
      </c>
    </row>
    <row r="321" spans="1:256" s="66" customFormat="1" ht="13.5" customHeight="1">
      <c r="A321" s="64">
        <v>267080</v>
      </c>
      <c r="B321" s="57">
        <v>39083</v>
      </c>
      <c r="C321" s="59">
        <v>530000</v>
      </c>
      <c r="D321" s="58">
        <f>VLOOKUP(C321,Comptes!$A$2:$B$44,2,FALSE)</f>
        <v>0</v>
      </c>
      <c r="E321" s="59">
        <v>511200</v>
      </c>
      <c r="F321" s="58">
        <f>VLOOKUP(E321,Comptes!$A$2:$B$44,2,FALSE)</f>
        <v>0</v>
      </c>
      <c r="G321" s="59"/>
      <c r="H321" s="59"/>
      <c r="I321" s="68">
        <v>114</v>
      </c>
      <c r="J321" s="53"/>
      <c r="K321" s="54">
        <f t="shared" si="2"/>
        <v>1</v>
      </c>
      <c r="L321" s="54">
        <f t="shared" si="3"/>
        <v>1</v>
      </c>
      <c r="IV321"/>
    </row>
    <row r="322" spans="1:256" s="54" customFormat="1" ht="13.5" customHeight="1">
      <c r="A322" s="64">
        <v>267081</v>
      </c>
      <c r="B322" s="57">
        <v>39089</v>
      </c>
      <c r="C322" s="60">
        <v>645000</v>
      </c>
      <c r="D322" s="58">
        <f>VLOOKUP(C322,Comptes!$A$2:$B$44,2,FALSE)</f>
        <v>0</v>
      </c>
      <c r="E322" s="62">
        <v>512000</v>
      </c>
      <c r="F322" s="58">
        <f>VLOOKUP(E322,Comptes!$A$2:$B$44,2,FALSE)</f>
        <v>0</v>
      </c>
      <c r="G322" s="59" t="s">
        <v>184</v>
      </c>
      <c r="H322" s="59" t="s">
        <v>240</v>
      </c>
      <c r="I322" s="61">
        <v>1</v>
      </c>
      <c r="J322" s="64" t="s">
        <v>241</v>
      </c>
      <c r="K322" s="54">
        <f t="shared" si="2"/>
        <v>0</v>
      </c>
      <c r="L322" s="54">
        <f t="shared" si="3"/>
        <v>0</v>
      </c>
      <c r="IP322" s="66"/>
      <c r="IQ322" s="66"/>
      <c r="IR322" s="66"/>
      <c r="IS322" s="66"/>
      <c r="IT322" s="66"/>
      <c r="IV322"/>
    </row>
    <row r="323" spans="1:256" s="66" customFormat="1" ht="13.5" customHeight="1">
      <c r="A323" s="64">
        <v>267082</v>
      </c>
      <c r="B323" s="57">
        <v>39079</v>
      </c>
      <c r="C323" s="59">
        <v>626500</v>
      </c>
      <c r="D323" s="58">
        <f>VLOOKUP(C323,Comptes!$A$2:$B$44,2,FALSE)</f>
        <v>0</v>
      </c>
      <c r="E323" s="59">
        <v>512000</v>
      </c>
      <c r="F323" s="58">
        <f>VLOOKUP(E323,Comptes!$A$2:$B$44,2,FALSE)</f>
        <v>0</v>
      </c>
      <c r="G323" s="59" t="s">
        <v>178</v>
      </c>
      <c r="H323" s="59" t="s">
        <v>222</v>
      </c>
      <c r="I323" s="68">
        <v>49.06</v>
      </c>
      <c r="J323" s="64"/>
      <c r="K323" s="54">
        <f t="shared" si="2"/>
        <v>0</v>
      </c>
      <c r="L323" s="54">
        <f t="shared" si="3"/>
        <v>0</v>
      </c>
      <c r="IV323"/>
    </row>
    <row r="324" spans="1:12" ht="13.5" customHeight="1">
      <c r="A324" s="64">
        <v>267083</v>
      </c>
      <c r="B324" s="57">
        <v>39085</v>
      </c>
      <c r="C324" s="60">
        <v>512000</v>
      </c>
      <c r="D324" s="58">
        <f>VLOOKUP(C324,Comptes!$A$2:$B$44,2,FALSE)</f>
        <v>0</v>
      </c>
      <c r="E324" s="60">
        <v>754000</v>
      </c>
      <c r="F324" s="58">
        <f>VLOOKUP(E324,Comptes!$A$2:$B$44,2,FALSE)</f>
        <v>0</v>
      </c>
      <c r="G324" s="59" t="s">
        <v>171</v>
      </c>
      <c r="H324" s="59" t="s">
        <v>234</v>
      </c>
      <c r="I324" s="61">
        <v>15.15</v>
      </c>
      <c r="J324" s="64"/>
      <c r="K324" s="54">
        <f t="shared" si="2"/>
        <v>0</v>
      </c>
      <c r="L324" s="54">
        <f t="shared" si="3"/>
        <v>0</v>
      </c>
    </row>
    <row r="325" spans="1:256" s="66" customFormat="1" ht="13.5" customHeight="1">
      <c r="A325" s="64">
        <v>267084</v>
      </c>
      <c r="B325" s="57">
        <v>39091</v>
      </c>
      <c r="C325" s="59">
        <v>615000</v>
      </c>
      <c r="D325" s="58">
        <f>VLOOKUP(C325,Comptes!$A$2:$B$44,2,FALSE)</f>
        <v>0</v>
      </c>
      <c r="E325" s="59">
        <v>512000</v>
      </c>
      <c r="F325" s="58">
        <f>VLOOKUP(E325,Comptes!$A$2:$B$44,2,FALSE)</f>
        <v>0</v>
      </c>
      <c r="G325" s="59" t="s">
        <v>242</v>
      </c>
      <c r="H325" s="59" t="s">
        <v>234</v>
      </c>
      <c r="I325" s="68">
        <v>467.58</v>
      </c>
      <c r="J325" s="64" t="s">
        <v>243</v>
      </c>
      <c r="K325" s="54">
        <f t="shared" si="2"/>
        <v>0</v>
      </c>
      <c r="L325" s="54">
        <f t="shared" si="3"/>
        <v>0</v>
      </c>
      <c r="IV325"/>
    </row>
    <row r="326" spans="1:256" s="66" customFormat="1" ht="13.5" customHeight="1">
      <c r="A326" s="64">
        <v>267085</v>
      </c>
      <c r="B326" s="57">
        <v>39091</v>
      </c>
      <c r="C326" s="59">
        <v>606700</v>
      </c>
      <c r="D326" s="58">
        <f>VLOOKUP(C326,Comptes!$A$2:$B$44,2,FALSE)</f>
        <v>0</v>
      </c>
      <c r="E326" s="59">
        <v>512000</v>
      </c>
      <c r="F326" s="58">
        <f>VLOOKUP(E326,Comptes!$A$2:$B$44,2,FALSE)</f>
        <v>0</v>
      </c>
      <c r="G326" s="59" t="s">
        <v>244</v>
      </c>
      <c r="H326" s="59" t="s">
        <v>240</v>
      </c>
      <c r="I326" s="68">
        <v>213.7</v>
      </c>
      <c r="J326" s="64" t="s">
        <v>187</v>
      </c>
      <c r="K326" s="54">
        <f t="shared" si="2"/>
        <v>0</v>
      </c>
      <c r="L326" s="54">
        <f t="shared" si="3"/>
        <v>0</v>
      </c>
      <c r="IV326"/>
    </row>
    <row r="327" spans="1:256" s="66" customFormat="1" ht="13.5" customHeight="1">
      <c r="A327" s="64">
        <v>267086</v>
      </c>
      <c r="B327" s="57">
        <v>39091</v>
      </c>
      <c r="C327" s="59">
        <v>606700</v>
      </c>
      <c r="D327" s="58">
        <f>VLOOKUP(C327,Comptes!$A$2:$B$44,2,FALSE)</f>
        <v>0</v>
      </c>
      <c r="E327" s="59">
        <v>530000</v>
      </c>
      <c r="F327" s="58">
        <f>VLOOKUP(E327,Comptes!$A$2:$B$44,2,FALSE)</f>
        <v>0</v>
      </c>
      <c r="G327" s="59"/>
      <c r="H327" s="59"/>
      <c r="I327" s="68">
        <v>28.71</v>
      </c>
      <c r="J327" s="64"/>
      <c r="K327" s="54">
        <f t="shared" si="2"/>
        <v>1</v>
      </c>
      <c r="L327" s="54">
        <f t="shared" si="3"/>
        <v>0</v>
      </c>
      <c r="IV327"/>
    </row>
    <row r="328" spans="1:256" s="66" customFormat="1" ht="13.5" customHeight="1">
      <c r="A328" s="64">
        <v>267087</v>
      </c>
      <c r="B328" s="57">
        <v>39094</v>
      </c>
      <c r="C328" s="59">
        <v>626500</v>
      </c>
      <c r="D328" s="58">
        <f>VLOOKUP(C328,Comptes!$A$2:$B$44,2,FALSE)</f>
        <v>0</v>
      </c>
      <c r="E328" s="59">
        <v>512000</v>
      </c>
      <c r="F328" s="58">
        <f>VLOOKUP(E328,Comptes!$A$2:$B$44,2,FALSE)</f>
        <v>0</v>
      </c>
      <c r="G328" s="59" t="s">
        <v>178</v>
      </c>
      <c r="H328" s="59" t="s">
        <v>234</v>
      </c>
      <c r="I328" s="68">
        <v>168.11</v>
      </c>
      <c r="J328" s="64"/>
      <c r="K328" s="54">
        <f t="shared" si="2"/>
        <v>0</v>
      </c>
      <c r="L328" s="54">
        <f t="shared" si="3"/>
        <v>0</v>
      </c>
      <c r="IV328"/>
    </row>
    <row r="329" spans="1:12" ht="13.5" customHeight="1">
      <c r="A329" s="64">
        <v>267088</v>
      </c>
      <c r="B329" s="57">
        <v>39092</v>
      </c>
      <c r="C329" s="60">
        <v>613200</v>
      </c>
      <c r="D329" s="58">
        <f>VLOOKUP(C329,Comptes!$A$2:$B$44,2,FALSE)</f>
        <v>0</v>
      </c>
      <c r="E329" s="59">
        <v>512000</v>
      </c>
      <c r="F329" s="58">
        <f>VLOOKUP(E329,Comptes!$A$2:$B$44,2,FALSE)</f>
        <v>0</v>
      </c>
      <c r="G329" s="59" t="s">
        <v>178</v>
      </c>
      <c r="H329" s="59" t="s">
        <v>234</v>
      </c>
      <c r="I329" s="61">
        <v>972.01</v>
      </c>
      <c r="J329" s="64" t="s">
        <v>245</v>
      </c>
      <c r="K329" s="54">
        <f t="shared" si="2"/>
        <v>0</v>
      </c>
      <c r="L329" s="54">
        <f t="shared" si="3"/>
        <v>0</v>
      </c>
    </row>
    <row r="330" spans="1:256" s="66" customFormat="1" ht="13.5" customHeight="1">
      <c r="A330" s="64">
        <v>267089</v>
      </c>
      <c r="B330" s="57">
        <v>39094</v>
      </c>
      <c r="C330" s="59">
        <v>606700</v>
      </c>
      <c r="D330" s="58">
        <f>VLOOKUP(C330,Comptes!$A$2:$B$44,2,FALSE)</f>
        <v>0</v>
      </c>
      <c r="E330" s="59">
        <v>530000</v>
      </c>
      <c r="F330" s="58">
        <f>VLOOKUP(E330,Comptes!$A$2:$B$44,2,FALSE)</f>
        <v>0</v>
      </c>
      <c r="G330" s="59"/>
      <c r="H330" s="59"/>
      <c r="I330" s="68">
        <v>72.97</v>
      </c>
      <c r="J330" s="64"/>
      <c r="K330" s="54">
        <f t="shared" si="2"/>
        <v>1</v>
      </c>
      <c r="L330" s="54">
        <f t="shared" si="3"/>
        <v>0</v>
      </c>
      <c r="IV330"/>
    </row>
    <row r="331" spans="1:256" s="66" customFormat="1" ht="13.5" customHeight="1">
      <c r="A331" s="64">
        <v>267089</v>
      </c>
      <c r="B331" s="57">
        <v>39094</v>
      </c>
      <c r="C331" s="59">
        <v>606700</v>
      </c>
      <c r="D331" s="58">
        <f>VLOOKUP(C331,Comptes!$A$2:$B$44,2,FALSE)</f>
        <v>0</v>
      </c>
      <c r="E331" s="59">
        <v>512000</v>
      </c>
      <c r="F331" s="58">
        <f>VLOOKUP(E331,Comptes!$A$2:$B$44,2,FALSE)</f>
        <v>0</v>
      </c>
      <c r="G331" s="59" t="s">
        <v>246</v>
      </c>
      <c r="H331" s="59" t="s">
        <v>234</v>
      </c>
      <c r="I331" s="68">
        <v>158.14</v>
      </c>
      <c r="J331" s="64"/>
      <c r="K331" s="54">
        <f t="shared" si="2"/>
        <v>0</v>
      </c>
      <c r="L331" s="54">
        <f t="shared" si="3"/>
        <v>0</v>
      </c>
      <c r="IV331"/>
    </row>
    <row r="332" spans="1:256" s="66" customFormat="1" ht="13.5" customHeight="1">
      <c r="A332" s="64">
        <v>267089</v>
      </c>
      <c r="B332" s="57">
        <v>39094</v>
      </c>
      <c r="C332" s="59">
        <v>606700</v>
      </c>
      <c r="D332" s="58">
        <f>VLOOKUP(C332,Comptes!$A$2:$B$44,2,FALSE)</f>
        <v>0</v>
      </c>
      <c r="E332" s="59">
        <v>530000</v>
      </c>
      <c r="F332" s="58">
        <f>VLOOKUP(E332,Comptes!$A$2:$B$44,2,FALSE)</f>
        <v>0</v>
      </c>
      <c r="G332" s="59"/>
      <c r="H332" s="59"/>
      <c r="I332" s="68">
        <v>21.7</v>
      </c>
      <c r="J332" s="64"/>
      <c r="K332" s="54">
        <f t="shared" si="2"/>
        <v>1</v>
      </c>
      <c r="L332" s="54">
        <f t="shared" si="3"/>
        <v>0</v>
      </c>
      <c r="IV332"/>
    </row>
    <row r="333" spans="1:12" ht="13.5" customHeight="1">
      <c r="A333" s="64">
        <v>267090</v>
      </c>
      <c r="B333" s="57">
        <v>39097</v>
      </c>
      <c r="C333" s="60">
        <v>626500</v>
      </c>
      <c r="D333" s="58">
        <f>VLOOKUP(C333,Comptes!$A$2:$B$44,2,FALSE)</f>
        <v>0</v>
      </c>
      <c r="E333" s="59">
        <v>512000</v>
      </c>
      <c r="F333" s="58">
        <f>VLOOKUP(E333,Comptes!$A$2:$B$44,2,FALSE)</f>
        <v>0</v>
      </c>
      <c r="G333" s="36" t="s">
        <v>178</v>
      </c>
      <c r="H333" s="59" t="s">
        <v>234</v>
      </c>
      <c r="I333" s="61">
        <v>21.4</v>
      </c>
      <c r="J333" s="35" t="s">
        <v>184</v>
      </c>
      <c r="K333" s="54">
        <f t="shared" si="2"/>
        <v>0</v>
      </c>
      <c r="L333" s="54">
        <f t="shared" si="3"/>
        <v>0</v>
      </c>
    </row>
    <row r="334" spans="1:12" ht="13.5" customHeight="1">
      <c r="A334" s="64">
        <v>267091</v>
      </c>
      <c r="B334" s="57">
        <v>39091</v>
      </c>
      <c r="C334" s="60">
        <v>615000</v>
      </c>
      <c r="D334" s="58">
        <f>VLOOKUP(C334,Comptes!$A$2:$B$44,2,FALSE)</f>
        <v>0</v>
      </c>
      <c r="E334" s="59">
        <v>512000</v>
      </c>
      <c r="F334" s="58">
        <f>VLOOKUP(E334,Comptes!$A$2:$B$44,2,FALSE)</f>
        <v>0</v>
      </c>
      <c r="G334" s="59" t="s">
        <v>247</v>
      </c>
      <c r="H334" s="59" t="s">
        <v>240</v>
      </c>
      <c r="I334" s="61">
        <v>42</v>
      </c>
      <c r="J334" s="35"/>
      <c r="K334" s="54">
        <f t="shared" si="2"/>
        <v>0</v>
      </c>
      <c r="L334" s="54">
        <f t="shared" si="3"/>
        <v>0</v>
      </c>
    </row>
    <row r="335" spans="1:12" ht="13.5" customHeight="1">
      <c r="A335" s="64">
        <v>267092</v>
      </c>
      <c r="B335" s="57">
        <v>39096</v>
      </c>
      <c r="C335" s="60">
        <v>512000</v>
      </c>
      <c r="D335" s="58">
        <f>VLOOKUP(C335,Comptes!$A$2:$B$44,2,FALSE)</f>
        <v>0</v>
      </c>
      <c r="E335" s="59">
        <v>754000</v>
      </c>
      <c r="F335" s="58">
        <f>VLOOKUP(E335,Comptes!$A$2:$B$44,2,FALSE)</f>
        <v>0</v>
      </c>
      <c r="G335" s="36" t="s">
        <v>170</v>
      </c>
      <c r="H335" s="59" t="s">
        <v>240</v>
      </c>
      <c r="I335" s="61">
        <v>25</v>
      </c>
      <c r="J335" s="35"/>
      <c r="K335" s="54">
        <f t="shared" si="2"/>
        <v>0</v>
      </c>
      <c r="L335" s="54">
        <f t="shared" si="3"/>
        <v>0</v>
      </c>
    </row>
    <row r="336" spans="1:12" ht="13.5" customHeight="1">
      <c r="A336" s="64">
        <v>267092</v>
      </c>
      <c r="B336" s="57">
        <v>39096</v>
      </c>
      <c r="C336" s="60">
        <v>512000</v>
      </c>
      <c r="D336" s="58">
        <f>VLOOKUP(C336,Comptes!$A$2:$B$44,2,FALSE)</f>
        <v>0</v>
      </c>
      <c r="E336" s="59">
        <v>706230</v>
      </c>
      <c r="F336" s="58">
        <f>VLOOKUP(E336,Comptes!$A$2:$B$44,2,FALSE)</f>
        <v>0</v>
      </c>
      <c r="G336" s="36" t="s">
        <v>170</v>
      </c>
      <c r="H336" s="59" t="s">
        <v>240</v>
      </c>
      <c r="I336" s="61">
        <v>340</v>
      </c>
      <c r="J336" s="35"/>
      <c r="K336" s="54">
        <f t="shared" si="2"/>
        <v>0</v>
      </c>
      <c r="L336" s="54">
        <f t="shared" si="3"/>
        <v>0</v>
      </c>
    </row>
    <row r="337" spans="1:12" ht="13.5" customHeight="1">
      <c r="A337" s="64">
        <v>267092</v>
      </c>
      <c r="B337" s="57">
        <v>39096</v>
      </c>
      <c r="C337" s="60">
        <v>512000</v>
      </c>
      <c r="D337" s="58">
        <f>VLOOKUP(C337,Comptes!$A$2:$B$44,2,FALSE)</f>
        <v>0</v>
      </c>
      <c r="E337" s="59">
        <v>706210</v>
      </c>
      <c r="F337" s="58">
        <f>VLOOKUP(E337,Comptes!$A$2:$B$44,2,FALSE)</f>
        <v>0</v>
      </c>
      <c r="G337" s="36" t="s">
        <v>170</v>
      </c>
      <c r="H337" s="59" t="s">
        <v>240</v>
      </c>
      <c r="I337" s="61">
        <v>243</v>
      </c>
      <c r="J337" s="35"/>
      <c r="K337" s="54">
        <f t="shared" si="2"/>
        <v>0</v>
      </c>
      <c r="L337" s="54">
        <f t="shared" si="3"/>
        <v>0</v>
      </c>
    </row>
    <row r="338" spans="1:12" ht="13.5" customHeight="1">
      <c r="A338" s="64">
        <v>267092</v>
      </c>
      <c r="B338" s="57">
        <v>39096</v>
      </c>
      <c r="C338" s="60">
        <v>512000</v>
      </c>
      <c r="D338" s="58">
        <f>VLOOKUP(C338,Comptes!$A$2:$B$44,2,FALSE)</f>
        <v>0</v>
      </c>
      <c r="E338" s="59">
        <v>706210</v>
      </c>
      <c r="F338" s="58">
        <f>VLOOKUP(E338,Comptes!$A$2:$B$44,2,FALSE)</f>
        <v>0</v>
      </c>
      <c r="G338" s="36" t="s">
        <v>170</v>
      </c>
      <c r="H338" s="59" t="s">
        <v>240</v>
      </c>
      <c r="I338" s="61">
        <v>60</v>
      </c>
      <c r="J338" s="35"/>
      <c r="K338" s="54">
        <f t="shared" si="2"/>
        <v>0</v>
      </c>
      <c r="L338" s="54">
        <f t="shared" si="3"/>
        <v>0</v>
      </c>
    </row>
    <row r="339" spans="1:12" ht="13.5" customHeight="1">
      <c r="A339" s="64">
        <v>267092</v>
      </c>
      <c r="B339" s="57">
        <v>39096</v>
      </c>
      <c r="C339" s="60">
        <v>512000</v>
      </c>
      <c r="D339" s="58">
        <f>VLOOKUP(C339,Comptes!$A$2:$B$44,2,FALSE)</f>
        <v>0</v>
      </c>
      <c r="E339" s="59">
        <v>706220</v>
      </c>
      <c r="F339" s="58">
        <f>VLOOKUP(E339,Comptes!$A$2:$B$44,2,FALSE)</f>
        <v>0</v>
      </c>
      <c r="G339" s="36" t="s">
        <v>170</v>
      </c>
      <c r="H339" s="59" t="s">
        <v>240</v>
      </c>
      <c r="I339" s="61">
        <v>224</v>
      </c>
      <c r="J339" s="35"/>
      <c r="K339" s="54">
        <f t="shared" si="2"/>
        <v>0</v>
      </c>
      <c r="L339" s="54">
        <f t="shared" si="3"/>
        <v>0</v>
      </c>
    </row>
    <row r="340" spans="1:12" ht="13.5" customHeight="1">
      <c r="A340" s="64">
        <v>267092</v>
      </c>
      <c r="B340" s="57">
        <v>39096</v>
      </c>
      <c r="C340" s="60">
        <v>512000</v>
      </c>
      <c r="D340" s="58">
        <f>VLOOKUP(C340,Comptes!$A$2:$B$44,2,FALSE)</f>
        <v>0</v>
      </c>
      <c r="E340" s="59">
        <v>756000</v>
      </c>
      <c r="F340" s="58">
        <f>VLOOKUP(E340,Comptes!$A$2:$B$44,2,FALSE)</f>
        <v>0</v>
      </c>
      <c r="G340" s="36" t="s">
        <v>170</v>
      </c>
      <c r="H340" s="59" t="s">
        <v>240</v>
      </c>
      <c r="I340" s="61">
        <v>64</v>
      </c>
      <c r="J340" s="35"/>
      <c r="K340" s="54">
        <f t="shared" si="2"/>
        <v>0</v>
      </c>
      <c r="L340" s="54">
        <f t="shared" si="3"/>
        <v>0</v>
      </c>
    </row>
    <row r="341" spans="1:12" ht="13.5" customHeight="1">
      <c r="A341" s="64">
        <v>267092</v>
      </c>
      <c r="B341" s="57">
        <v>39096</v>
      </c>
      <c r="C341" s="60">
        <v>512000</v>
      </c>
      <c r="D341" s="58">
        <f>VLOOKUP(C341,Comptes!$A$2:$B$44,2,FALSE)</f>
        <v>0</v>
      </c>
      <c r="E341" s="59">
        <v>754000</v>
      </c>
      <c r="F341" s="58">
        <f>VLOOKUP(E341,Comptes!$A$2:$B$44,2,FALSE)</f>
        <v>0</v>
      </c>
      <c r="G341" s="36" t="s">
        <v>170</v>
      </c>
      <c r="H341" s="59" t="s">
        <v>240</v>
      </c>
      <c r="I341" s="61">
        <v>50</v>
      </c>
      <c r="J341" s="35"/>
      <c r="K341" s="54">
        <f t="shared" si="2"/>
        <v>0</v>
      </c>
      <c r="L341" s="54">
        <f t="shared" si="3"/>
        <v>0</v>
      </c>
    </row>
    <row r="342" spans="1:12" ht="13.5" customHeight="1">
      <c r="A342" s="64">
        <v>267092</v>
      </c>
      <c r="B342" s="57">
        <v>39096</v>
      </c>
      <c r="C342" s="60">
        <v>512000</v>
      </c>
      <c r="D342" s="58">
        <f>VLOOKUP(C342,Comptes!$A$2:$B$44,2,FALSE)</f>
        <v>0</v>
      </c>
      <c r="E342" s="59">
        <v>756000</v>
      </c>
      <c r="F342" s="58">
        <f>VLOOKUP(E342,Comptes!$A$2:$B$44,2,FALSE)</f>
        <v>0</v>
      </c>
      <c r="G342" s="36" t="s">
        <v>170</v>
      </c>
      <c r="H342" s="59" t="s">
        <v>240</v>
      </c>
      <c r="I342" s="61">
        <v>148</v>
      </c>
      <c r="J342" s="35"/>
      <c r="K342" s="54">
        <f t="shared" si="2"/>
        <v>0</v>
      </c>
      <c r="L342" s="54">
        <f t="shared" si="3"/>
        <v>0</v>
      </c>
    </row>
    <row r="343" spans="1:12" ht="13.5" customHeight="1">
      <c r="A343" s="64">
        <v>267092</v>
      </c>
      <c r="B343" s="57">
        <v>39096</v>
      </c>
      <c r="C343" s="60">
        <v>512000</v>
      </c>
      <c r="D343" s="58">
        <f>VLOOKUP(C343,Comptes!$A$2:$B$44,2,FALSE)</f>
        <v>0</v>
      </c>
      <c r="E343" s="59">
        <v>708000</v>
      </c>
      <c r="F343" s="58">
        <f>VLOOKUP(E343,Comptes!$A$2:$B$44,2,FALSE)</f>
        <v>0</v>
      </c>
      <c r="G343" s="36" t="s">
        <v>170</v>
      </c>
      <c r="H343" s="59" t="s">
        <v>240</v>
      </c>
      <c r="I343" s="61">
        <v>18</v>
      </c>
      <c r="J343" s="35"/>
      <c r="K343" s="54">
        <f t="shared" si="2"/>
        <v>0</v>
      </c>
      <c r="L343" s="54">
        <f t="shared" si="3"/>
        <v>0</v>
      </c>
    </row>
    <row r="344" spans="1:12" ht="13.5" customHeight="1">
      <c r="A344" s="64">
        <v>267092</v>
      </c>
      <c r="B344" s="57">
        <v>39096</v>
      </c>
      <c r="C344" s="60">
        <v>530000</v>
      </c>
      <c r="D344" s="58">
        <f>VLOOKUP(C344,Comptes!$A$2:$B$44,2,FALSE)</f>
        <v>0</v>
      </c>
      <c r="E344" s="59">
        <v>706230</v>
      </c>
      <c r="F344" s="58">
        <f>VLOOKUP(E344,Comptes!$A$2:$B$44,2,FALSE)</f>
        <v>0</v>
      </c>
      <c r="H344" s="63"/>
      <c r="I344" s="61">
        <v>191</v>
      </c>
      <c r="J344" s="35"/>
      <c r="K344" s="54">
        <f t="shared" si="2"/>
        <v>1</v>
      </c>
      <c r="L344" s="54">
        <f t="shared" si="3"/>
        <v>0</v>
      </c>
    </row>
    <row r="345" spans="1:12" ht="13.5" customHeight="1">
      <c r="A345" s="64">
        <v>267092</v>
      </c>
      <c r="B345" s="57">
        <v>39096</v>
      </c>
      <c r="C345" s="60">
        <v>530000</v>
      </c>
      <c r="D345" s="58">
        <f>VLOOKUP(C345,Comptes!$A$2:$B$44,2,FALSE)</f>
        <v>0</v>
      </c>
      <c r="E345" s="59">
        <v>706210</v>
      </c>
      <c r="F345" s="58">
        <f>VLOOKUP(E345,Comptes!$A$2:$B$44,2,FALSE)</f>
        <v>0</v>
      </c>
      <c r="H345" s="63"/>
      <c r="I345" s="61">
        <v>151</v>
      </c>
      <c r="J345" s="35"/>
      <c r="K345" s="54">
        <f t="shared" si="2"/>
        <v>1</v>
      </c>
      <c r="L345" s="54">
        <f t="shared" si="3"/>
        <v>0</v>
      </c>
    </row>
    <row r="346" spans="1:12" ht="13.5" customHeight="1">
      <c r="A346" s="64">
        <v>267092</v>
      </c>
      <c r="B346" s="57">
        <v>39096</v>
      </c>
      <c r="C346" s="60">
        <v>530000</v>
      </c>
      <c r="D346" s="58">
        <f>VLOOKUP(C346,Comptes!$A$2:$B$44,2,FALSE)</f>
        <v>0</v>
      </c>
      <c r="E346" s="59">
        <v>706220</v>
      </c>
      <c r="F346" s="58">
        <f>VLOOKUP(E346,Comptes!$A$2:$B$44,2,FALSE)</f>
        <v>0</v>
      </c>
      <c r="H346" s="63"/>
      <c r="I346" s="61">
        <v>105</v>
      </c>
      <c r="J346" s="35"/>
      <c r="K346" s="54">
        <f t="shared" si="2"/>
        <v>1</v>
      </c>
      <c r="L346" s="54">
        <f t="shared" si="3"/>
        <v>0</v>
      </c>
    </row>
    <row r="347" spans="1:12" ht="13.5" customHeight="1">
      <c r="A347" s="64">
        <v>267092</v>
      </c>
      <c r="B347" s="57">
        <v>39096</v>
      </c>
      <c r="C347" s="60">
        <v>530000</v>
      </c>
      <c r="D347" s="58">
        <f>VLOOKUP(C347,Comptes!$A$2:$B$44,2,FALSE)</f>
        <v>0</v>
      </c>
      <c r="E347" s="59">
        <v>756000</v>
      </c>
      <c r="F347" s="58">
        <f>VLOOKUP(E347,Comptes!$A$2:$B$44,2,FALSE)</f>
        <v>0</v>
      </c>
      <c r="H347" s="63"/>
      <c r="I347" s="61">
        <v>64</v>
      </c>
      <c r="J347" s="35"/>
      <c r="K347" s="54">
        <f t="shared" si="2"/>
        <v>1</v>
      </c>
      <c r="L347" s="54">
        <f t="shared" si="3"/>
        <v>0</v>
      </c>
    </row>
    <row r="348" spans="1:12" ht="13.5" customHeight="1">
      <c r="A348" s="64">
        <v>267092</v>
      </c>
      <c r="B348" s="57">
        <v>39096</v>
      </c>
      <c r="C348" s="60">
        <v>530000</v>
      </c>
      <c r="D348" s="58">
        <f>VLOOKUP(C348,Comptes!$A$2:$B$44,2,FALSE)</f>
        <v>0</v>
      </c>
      <c r="E348" s="59">
        <v>708000</v>
      </c>
      <c r="F348" s="58">
        <f>VLOOKUP(E348,Comptes!$A$2:$B$44,2,FALSE)</f>
        <v>0</v>
      </c>
      <c r="H348" s="63"/>
      <c r="I348" s="61">
        <v>9</v>
      </c>
      <c r="J348" s="35"/>
      <c r="K348" s="54">
        <f t="shared" si="2"/>
        <v>1</v>
      </c>
      <c r="L348" s="54">
        <f t="shared" si="3"/>
        <v>0</v>
      </c>
    </row>
    <row r="349" spans="1:12" ht="13.5" customHeight="1">
      <c r="A349" s="64">
        <v>267092</v>
      </c>
      <c r="B349" s="57">
        <v>39096</v>
      </c>
      <c r="C349" s="60">
        <v>530000</v>
      </c>
      <c r="D349" s="58">
        <f>VLOOKUP(C349,Comptes!$A$2:$B$44,2,FALSE)</f>
        <v>0</v>
      </c>
      <c r="E349" s="59">
        <v>706230</v>
      </c>
      <c r="F349" s="58">
        <f>VLOOKUP(E349,Comptes!$A$2:$B$44,2,FALSE)</f>
        <v>0</v>
      </c>
      <c r="H349" s="63"/>
      <c r="I349" s="61">
        <v>21</v>
      </c>
      <c r="J349" s="35"/>
      <c r="K349" s="54">
        <f t="shared" si="2"/>
        <v>1</v>
      </c>
      <c r="L349" s="54">
        <f t="shared" si="3"/>
        <v>0</v>
      </c>
    </row>
    <row r="350" spans="1:12" ht="13.5" customHeight="1">
      <c r="A350" s="64">
        <v>267092</v>
      </c>
      <c r="B350" s="57">
        <v>39096</v>
      </c>
      <c r="C350" s="60">
        <v>512000</v>
      </c>
      <c r="D350" s="58">
        <f>VLOOKUP(C350,Comptes!$A$2:$B$44,2,FALSE)</f>
        <v>0</v>
      </c>
      <c r="E350" s="59">
        <v>530000</v>
      </c>
      <c r="F350" s="58">
        <f>VLOOKUP(E350,Comptes!$A$2:$B$44,2,FALSE)</f>
        <v>0</v>
      </c>
      <c r="H350" s="59" t="s">
        <v>240</v>
      </c>
      <c r="I350" s="61">
        <v>800</v>
      </c>
      <c r="J350" s="35"/>
      <c r="K350" s="54">
        <f t="shared" si="2"/>
        <v>1</v>
      </c>
      <c r="L350" s="54">
        <f t="shared" si="3"/>
        <v>0</v>
      </c>
    </row>
    <row r="351" spans="1:12" ht="13.5" customHeight="1">
      <c r="A351" s="65">
        <v>256173</v>
      </c>
      <c r="B351" s="57">
        <v>39097</v>
      </c>
      <c r="C351" s="60">
        <v>606110</v>
      </c>
      <c r="D351" s="58">
        <f>VLOOKUP(C351,Comptes!$A$2:$B$44,2,FALSE)</f>
        <v>0</v>
      </c>
      <c r="E351" s="59">
        <v>512000</v>
      </c>
      <c r="F351" s="58">
        <f>VLOOKUP(E351,Comptes!$A$2:$B$44,2,FALSE)</f>
        <v>0</v>
      </c>
      <c r="G351" s="36" t="s">
        <v>178</v>
      </c>
      <c r="H351" s="59" t="s">
        <v>234</v>
      </c>
      <c r="I351" s="37">
        <v>147</v>
      </c>
      <c r="J351" s="35" t="s">
        <v>181</v>
      </c>
      <c r="K351" s="54">
        <f t="shared" si="2"/>
        <v>0</v>
      </c>
      <c r="L351" s="54">
        <f t="shared" si="3"/>
        <v>0</v>
      </c>
    </row>
    <row r="352" spans="1:12" ht="13.5" customHeight="1">
      <c r="A352" s="64">
        <v>267093</v>
      </c>
      <c r="B352" s="57">
        <v>39098</v>
      </c>
      <c r="C352" s="60">
        <v>606300</v>
      </c>
      <c r="D352" s="58">
        <f>VLOOKUP(C352,Comptes!$A$2:$B$44,2,FALSE)</f>
        <v>0</v>
      </c>
      <c r="E352" s="59">
        <v>512000</v>
      </c>
      <c r="F352" s="58">
        <f>VLOOKUP(E352,Comptes!$A$2:$B$44,2,FALSE)</f>
        <v>0</v>
      </c>
      <c r="G352" s="59" t="s">
        <v>248</v>
      </c>
      <c r="H352" s="59" t="s">
        <v>240</v>
      </c>
      <c r="I352" s="61">
        <v>47.39</v>
      </c>
      <c r="J352" s="35" t="s">
        <v>249</v>
      </c>
      <c r="K352" s="54">
        <f t="shared" si="2"/>
        <v>0</v>
      </c>
      <c r="L352" s="54">
        <f t="shared" si="3"/>
        <v>0</v>
      </c>
    </row>
    <row r="353" spans="1:12" ht="13.5" customHeight="1">
      <c r="A353" s="64">
        <v>267093</v>
      </c>
      <c r="B353" s="57">
        <v>39098</v>
      </c>
      <c r="C353" s="60">
        <v>626000</v>
      </c>
      <c r="D353" s="58">
        <f>VLOOKUP(C353,Comptes!$A$2:$B$44,2,FALSE)</f>
        <v>0</v>
      </c>
      <c r="E353" s="59">
        <v>512000</v>
      </c>
      <c r="F353" s="58">
        <f>VLOOKUP(E353,Comptes!$A$2:$B$44,2,FALSE)</f>
        <v>0</v>
      </c>
      <c r="G353" s="59" t="s">
        <v>248</v>
      </c>
      <c r="H353" s="59" t="s">
        <v>240</v>
      </c>
      <c r="I353" s="61">
        <v>151.25</v>
      </c>
      <c r="J353" s="35"/>
      <c r="K353" s="54">
        <f t="shared" si="2"/>
        <v>0</v>
      </c>
      <c r="L353" s="54">
        <f t="shared" si="3"/>
        <v>0</v>
      </c>
    </row>
    <row r="354" spans="1:12" ht="13.5" customHeight="1">
      <c r="A354" s="64">
        <v>267093</v>
      </c>
      <c r="B354" s="57">
        <v>39098</v>
      </c>
      <c r="C354" s="60">
        <v>626000</v>
      </c>
      <c r="D354" s="58">
        <f>VLOOKUP(C354,Comptes!$A$2:$B$44,2,FALSE)</f>
        <v>0</v>
      </c>
      <c r="E354" s="59">
        <v>530000</v>
      </c>
      <c r="F354" s="58">
        <f>VLOOKUP(E354,Comptes!$A$2:$B$44,2,FALSE)</f>
        <v>0</v>
      </c>
      <c r="G354" s="59"/>
      <c r="H354" s="63"/>
      <c r="I354" s="61">
        <v>100</v>
      </c>
      <c r="J354" s="35"/>
      <c r="K354" s="54">
        <f t="shared" si="2"/>
        <v>1</v>
      </c>
      <c r="L354" s="54">
        <f t="shared" si="3"/>
        <v>0</v>
      </c>
    </row>
    <row r="355" spans="1:12" ht="13.5" customHeight="1">
      <c r="A355" s="64">
        <v>267094</v>
      </c>
      <c r="B355" s="57">
        <v>39097</v>
      </c>
      <c r="C355" s="60">
        <v>512100</v>
      </c>
      <c r="D355" s="58">
        <f>VLOOKUP(C355,Comptes!$A$2:$B$44,2,FALSE)</f>
        <v>0</v>
      </c>
      <c r="E355" s="59">
        <v>761000</v>
      </c>
      <c r="F355" s="58">
        <f>VLOOKUP(E355,Comptes!$A$2:$B$44,2,FALSE)</f>
        <v>0</v>
      </c>
      <c r="G355" s="59"/>
      <c r="H355" s="59" t="s">
        <v>234</v>
      </c>
      <c r="I355" s="61">
        <v>126.32</v>
      </c>
      <c r="J355" s="35"/>
      <c r="K355" s="54">
        <f t="shared" si="2"/>
        <v>0</v>
      </c>
      <c r="L355" s="54">
        <f t="shared" si="3"/>
        <v>0</v>
      </c>
    </row>
    <row r="356" spans="1:12" ht="13.5" customHeight="1">
      <c r="A356" s="64">
        <v>267095</v>
      </c>
      <c r="B356" s="57">
        <v>39101</v>
      </c>
      <c r="C356" s="60">
        <v>606150</v>
      </c>
      <c r="D356" s="58">
        <f>VLOOKUP(C356,Comptes!$A$2:$B$44,2,FALSE)</f>
        <v>0</v>
      </c>
      <c r="E356" s="59">
        <v>512000</v>
      </c>
      <c r="F356" s="58">
        <f>VLOOKUP(E356,Comptes!$A$2:$B$44,2,FALSE)</f>
        <v>0</v>
      </c>
      <c r="G356" s="59" t="s">
        <v>250</v>
      </c>
      <c r="H356" s="59" t="s">
        <v>240</v>
      </c>
      <c r="I356" s="61">
        <v>50</v>
      </c>
      <c r="J356" s="35" t="s">
        <v>204</v>
      </c>
      <c r="K356" s="54">
        <f t="shared" si="2"/>
        <v>0</v>
      </c>
      <c r="L356" s="54">
        <f t="shared" si="3"/>
        <v>0</v>
      </c>
    </row>
    <row r="357" spans="1:12" ht="13.5" customHeight="1">
      <c r="A357" s="64">
        <v>267095</v>
      </c>
      <c r="B357" s="57">
        <v>39101</v>
      </c>
      <c r="C357" s="60">
        <v>606700</v>
      </c>
      <c r="D357" s="58">
        <f>VLOOKUP(C357,Comptes!$A$2:$B$44,2,FALSE)</f>
        <v>0</v>
      </c>
      <c r="E357" s="59">
        <v>512000</v>
      </c>
      <c r="F357" s="58">
        <f>VLOOKUP(E357,Comptes!$A$2:$B$44,2,FALSE)</f>
        <v>0</v>
      </c>
      <c r="G357" s="59" t="s">
        <v>251</v>
      </c>
      <c r="H357" s="59" t="s">
        <v>240</v>
      </c>
      <c r="I357" s="61">
        <v>155.32</v>
      </c>
      <c r="J357" s="35"/>
      <c r="K357" s="54">
        <f t="shared" si="2"/>
        <v>0</v>
      </c>
      <c r="L357" s="54">
        <f t="shared" si="3"/>
        <v>0</v>
      </c>
    </row>
    <row r="358" spans="1:12" ht="13.5" customHeight="1">
      <c r="A358" s="64">
        <v>267096</v>
      </c>
      <c r="B358" s="57">
        <v>39101</v>
      </c>
      <c r="C358" s="60">
        <v>512000</v>
      </c>
      <c r="D358" s="58">
        <f>VLOOKUP(C358,Comptes!$A$2:$B$44,2,FALSE)</f>
        <v>0</v>
      </c>
      <c r="E358" s="59">
        <v>706100</v>
      </c>
      <c r="F358" s="58">
        <f>VLOOKUP(E358,Comptes!$A$2:$B$44,2,FALSE)</f>
        <v>0</v>
      </c>
      <c r="G358" s="59" t="s">
        <v>170</v>
      </c>
      <c r="H358" s="59" t="s">
        <v>240</v>
      </c>
      <c r="I358" s="61">
        <v>530</v>
      </c>
      <c r="J358" s="35"/>
      <c r="K358" s="54">
        <f t="shared" si="2"/>
        <v>0</v>
      </c>
      <c r="L358" s="54">
        <f t="shared" si="3"/>
        <v>0</v>
      </c>
    </row>
    <row r="359" spans="1:12" ht="13.5" customHeight="1">
      <c r="A359" s="64">
        <v>267096</v>
      </c>
      <c r="B359" s="57">
        <v>39101</v>
      </c>
      <c r="C359" s="60">
        <v>512000</v>
      </c>
      <c r="D359" s="58">
        <f>VLOOKUP(C359,Comptes!$A$2:$B$44,2,FALSE)</f>
        <v>0</v>
      </c>
      <c r="E359" s="59">
        <v>706420</v>
      </c>
      <c r="F359" s="58">
        <f>VLOOKUP(E359,Comptes!$A$2:$B$44,2,FALSE)</f>
        <v>0</v>
      </c>
      <c r="G359" s="59" t="s">
        <v>170</v>
      </c>
      <c r="H359" s="59" t="s">
        <v>240</v>
      </c>
      <c r="I359" s="61">
        <v>1602.5</v>
      </c>
      <c r="J359" s="35"/>
      <c r="K359" s="54">
        <f t="shared" si="2"/>
        <v>0</v>
      </c>
      <c r="L359" s="54">
        <f t="shared" si="3"/>
        <v>0</v>
      </c>
    </row>
    <row r="360" spans="1:12" ht="13.5" customHeight="1">
      <c r="A360" s="64">
        <v>267096</v>
      </c>
      <c r="B360" s="57">
        <v>39101</v>
      </c>
      <c r="C360" s="60">
        <v>512000</v>
      </c>
      <c r="D360" s="58">
        <f>VLOOKUP(C360,Comptes!$A$2:$B$44,2,FALSE)</f>
        <v>0</v>
      </c>
      <c r="E360" s="59">
        <v>706100</v>
      </c>
      <c r="F360" s="58">
        <f>VLOOKUP(E360,Comptes!$A$2:$B$44,2,FALSE)</f>
        <v>0</v>
      </c>
      <c r="G360" s="59" t="s">
        <v>164</v>
      </c>
      <c r="H360" s="59" t="s">
        <v>240</v>
      </c>
      <c r="I360" s="61">
        <v>310</v>
      </c>
      <c r="J360" s="35"/>
      <c r="K360" s="54">
        <f t="shared" si="2"/>
        <v>0</v>
      </c>
      <c r="L360" s="54">
        <f t="shared" si="3"/>
        <v>0</v>
      </c>
    </row>
    <row r="361" spans="1:12" ht="13.5" customHeight="1">
      <c r="A361" s="64">
        <v>267096</v>
      </c>
      <c r="B361" s="57">
        <v>39101</v>
      </c>
      <c r="C361" s="60">
        <v>512000</v>
      </c>
      <c r="D361" s="58">
        <f>VLOOKUP(C361,Comptes!$A$2:$B$44,2,FALSE)</f>
        <v>0</v>
      </c>
      <c r="E361" s="59">
        <v>706420</v>
      </c>
      <c r="F361" s="58">
        <f>VLOOKUP(E361,Comptes!$A$2:$B$44,2,FALSE)</f>
        <v>0</v>
      </c>
      <c r="G361" s="59" t="s">
        <v>164</v>
      </c>
      <c r="H361" s="59" t="s">
        <v>240</v>
      </c>
      <c r="I361" s="61">
        <v>150</v>
      </c>
      <c r="J361" s="35"/>
      <c r="K361" s="54">
        <f t="shared" si="2"/>
        <v>0</v>
      </c>
      <c r="L361" s="54">
        <f t="shared" si="3"/>
        <v>0</v>
      </c>
    </row>
    <row r="362" spans="1:12" ht="13.5" customHeight="1">
      <c r="A362" s="64">
        <v>267097</v>
      </c>
      <c r="B362" s="57">
        <v>39103</v>
      </c>
      <c r="C362" s="60">
        <v>512000</v>
      </c>
      <c r="D362" s="58">
        <f>VLOOKUP(C362,Comptes!$A$2:$B$44,2,FALSE)</f>
        <v>0</v>
      </c>
      <c r="E362" s="59">
        <v>706230</v>
      </c>
      <c r="F362" s="58">
        <f>VLOOKUP(E362,Comptes!$A$2:$B$44,2,FALSE)</f>
        <v>0</v>
      </c>
      <c r="G362" s="59" t="s">
        <v>170</v>
      </c>
      <c r="H362" s="59" t="s">
        <v>240</v>
      </c>
      <c r="I362" s="61">
        <v>220</v>
      </c>
      <c r="J362" s="35"/>
      <c r="K362" s="54">
        <f t="shared" si="2"/>
        <v>0</v>
      </c>
      <c r="L362" s="54">
        <f t="shared" si="3"/>
        <v>0</v>
      </c>
    </row>
    <row r="363" spans="1:12" ht="13.5" customHeight="1">
      <c r="A363" s="64">
        <v>267097</v>
      </c>
      <c r="B363" s="57">
        <v>39103</v>
      </c>
      <c r="C363" s="60">
        <v>512000</v>
      </c>
      <c r="D363" s="58">
        <f>VLOOKUP(C363,Comptes!$A$2:$B$44,2,FALSE)</f>
        <v>0</v>
      </c>
      <c r="E363" s="59">
        <v>706210</v>
      </c>
      <c r="F363" s="58">
        <f>VLOOKUP(E363,Comptes!$A$2:$B$44,2,FALSE)</f>
        <v>0</v>
      </c>
      <c r="G363" s="59" t="s">
        <v>170</v>
      </c>
      <c r="H363" s="59" t="s">
        <v>240</v>
      </c>
      <c r="I363" s="61">
        <v>94</v>
      </c>
      <c r="J363" s="35"/>
      <c r="K363" s="54">
        <f t="shared" si="2"/>
        <v>0</v>
      </c>
      <c r="L363" s="54">
        <f t="shared" si="3"/>
        <v>0</v>
      </c>
    </row>
    <row r="364" spans="1:12" ht="13.5" customHeight="1">
      <c r="A364" s="64">
        <v>267097</v>
      </c>
      <c r="B364" s="57">
        <v>39103</v>
      </c>
      <c r="C364" s="60">
        <v>512000</v>
      </c>
      <c r="D364" s="58">
        <f>VLOOKUP(C364,Comptes!$A$2:$B$44,2,FALSE)</f>
        <v>0</v>
      </c>
      <c r="E364" s="59">
        <v>706220</v>
      </c>
      <c r="F364" s="58">
        <f>VLOOKUP(E364,Comptes!$A$2:$B$44,2,FALSE)</f>
        <v>0</v>
      </c>
      <c r="G364" s="59" t="s">
        <v>170</v>
      </c>
      <c r="H364" s="59" t="s">
        <v>240</v>
      </c>
      <c r="I364" s="61">
        <v>84</v>
      </c>
      <c r="J364" s="35"/>
      <c r="K364" s="54">
        <f t="shared" si="2"/>
        <v>0</v>
      </c>
      <c r="L364" s="54">
        <f t="shared" si="3"/>
        <v>0</v>
      </c>
    </row>
    <row r="365" spans="1:12" ht="13.5" customHeight="1">
      <c r="A365" s="64">
        <v>267097</v>
      </c>
      <c r="B365" s="57">
        <v>39103</v>
      </c>
      <c r="C365" s="60">
        <v>512000</v>
      </c>
      <c r="D365" s="58">
        <f>VLOOKUP(C365,Comptes!$A$2:$B$44,2,FALSE)</f>
        <v>0</v>
      </c>
      <c r="E365" s="59">
        <v>756000</v>
      </c>
      <c r="F365" s="58">
        <f>VLOOKUP(E365,Comptes!$A$2:$B$44,2,FALSE)</f>
        <v>0</v>
      </c>
      <c r="G365" s="59" t="s">
        <v>170</v>
      </c>
      <c r="H365" s="59" t="s">
        <v>240</v>
      </c>
      <c r="I365" s="61">
        <v>32</v>
      </c>
      <c r="J365" s="35"/>
      <c r="K365" s="54">
        <f t="shared" si="2"/>
        <v>0</v>
      </c>
      <c r="L365" s="54">
        <f t="shared" si="3"/>
        <v>0</v>
      </c>
    </row>
    <row r="366" spans="1:12" ht="13.5" customHeight="1">
      <c r="A366" s="64">
        <v>267097</v>
      </c>
      <c r="B366" s="57">
        <v>39103</v>
      </c>
      <c r="C366" s="60">
        <v>512000</v>
      </c>
      <c r="D366" s="58">
        <f>VLOOKUP(C366,Comptes!$A$2:$B$44,2,FALSE)</f>
        <v>0</v>
      </c>
      <c r="E366" s="59">
        <v>511200</v>
      </c>
      <c r="F366" s="58">
        <f>VLOOKUP(E366,Comptes!$A$2:$B$44,2,FALSE)</f>
        <v>0</v>
      </c>
      <c r="G366" s="59" t="s">
        <v>170</v>
      </c>
      <c r="H366" s="59" t="s">
        <v>240</v>
      </c>
      <c r="I366" s="61">
        <v>50</v>
      </c>
      <c r="J366" s="53"/>
      <c r="K366" s="54">
        <f t="shared" si="2"/>
        <v>0</v>
      </c>
      <c r="L366" s="54">
        <f t="shared" si="3"/>
        <v>1</v>
      </c>
    </row>
    <row r="367" spans="1:12" ht="13.5" customHeight="1">
      <c r="A367" s="64">
        <v>267097</v>
      </c>
      <c r="B367" s="57">
        <v>39103</v>
      </c>
      <c r="C367" s="60">
        <v>530000</v>
      </c>
      <c r="D367" s="58">
        <f>VLOOKUP(C367,Comptes!$A$2:$B$44,2,FALSE)</f>
        <v>0</v>
      </c>
      <c r="E367" s="59">
        <v>706230</v>
      </c>
      <c r="F367" s="58">
        <f>VLOOKUP(E367,Comptes!$A$2:$B$44,2,FALSE)</f>
        <v>0</v>
      </c>
      <c r="G367" s="59"/>
      <c r="H367" s="63"/>
      <c r="I367" s="61">
        <v>15</v>
      </c>
      <c r="J367" s="35"/>
      <c r="K367" s="54">
        <f t="shared" si="2"/>
        <v>1</v>
      </c>
      <c r="L367" s="54">
        <f t="shared" si="3"/>
        <v>0</v>
      </c>
    </row>
    <row r="368" spans="1:12" ht="13.5" customHeight="1">
      <c r="A368" s="64">
        <v>267097</v>
      </c>
      <c r="B368" s="57">
        <v>39103</v>
      </c>
      <c r="C368" s="60">
        <v>530000</v>
      </c>
      <c r="D368" s="58">
        <f>VLOOKUP(C368,Comptes!$A$2:$B$44,2,FALSE)</f>
        <v>0</v>
      </c>
      <c r="E368" s="59">
        <v>706220</v>
      </c>
      <c r="F368" s="58">
        <f>VLOOKUP(E368,Comptes!$A$2:$B$44,2,FALSE)</f>
        <v>0</v>
      </c>
      <c r="G368" s="59"/>
      <c r="H368" s="63"/>
      <c r="I368" s="61">
        <v>20</v>
      </c>
      <c r="J368" s="35"/>
      <c r="K368" s="54">
        <f t="shared" si="2"/>
        <v>1</v>
      </c>
      <c r="L368" s="54">
        <f t="shared" si="3"/>
        <v>0</v>
      </c>
    </row>
    <row r="369" spans="1:12" ht="13.5" customHeight="1">
      <c r="A369" s="64">
        <v>267098</v>
      </c>
      <c r="B369" s="57">
        <v>39085</v>
      </c>
      <c r="C369" s="60">
        <v>512000</v>
      </c>
      <c r="D369" s="58">
        <f>VLOOKUP(C369,Comptes!$A$2:$B$44,2,FALSE)</f>
        <v>0</v>
      </c>
      <c r="E369" s="59">
        <v>754000</v>
      </c>
      <c r="F369" s="58">
        <f>VLOOKUP(E369,Comptes!$A$2:$B$44,2,FALSE)</f>
        <v>0</v>
      </c>
      <c r="G369" s="59" t="s">
        <v>171</v>
      </c>
      <c r="H369" s="59" t="s">
        <v>234</v>
      </c>
      <c r="I369" s="61">
        <v>15.24</v>
      </c>
      <c r="J369" s="35"/>
      <c r="K369" s="54">
        <f t="shared" si="2"/>
        <v>0</v>
      </c>
      <c r="L369" s="54">
        <f t="shared" si="3"/>
        <v>0</v>
      </c>
    </row>
    <row r="370" spans="1:12" ht="13.5" customHeight="1">
      <c r="A370" s="64">
        <v>267098</v>
      </c>
      <c r="B370" s="57">
        <v>39085</v>
      </c>
      <c r="C370" s="60">
        <v>512000</v>
      </c>
      <c r="D370" s="58">
        <f>VLOOKUP(C370,Comptes!$A$2:$B$44,2,FALSE)</f>
        <v>0</v>
      </c>
      <c r="E370" s="59">
        <v>754000</v>
      </c>
      <c r="F370" s="58">
        <f>VLOOKUP(E370,Comptes!$A$2:$B$44,2,FALSE)</f>
        <v>0</v>
      </c>
      <c r="G370" s="59" t="s">
        <v>171</v>
      </c>
      <c r="H370" s="59" t="s">
        <v>234</v>
      </c>
      <c r="I370" s="61">
        <v>150</v>
      </c>
      <c r="J370" s="35"/>
      <c r="K370" s="54">
        <f t="shared" si="2"/>
        <v>0</v>
      </c>
      <c r="L370" s="54">
        <f t="shared" si="3"/>
        <v>0</v>
      </c>
    </row>
    <row r="371" spans="1:12" ht="13.5" customHeight="1">
      <c r="A371" s="64">
        <v>267098</v>
      </c>
      <c r="B371" s="57">
        <v>39092</v>
      </c>
      <c r="C371" s="60">
        <v>512000</v>
      </c>
      <c r="D371" s="58">
        <f>VLOOKUP(C371,Comptes!$A$2:$B$44,2,FALSE)</f>
        <v>0</v>
      </c>
      <c r="E371" s="59">
        <v>754000</v>
      </c>
      <c r="F371" s="58">
        <f>VLOOKUP(E371,Comptes!$A$2:$B$44,2,FALSE)</f>
        <v>0</v>
      </c>
      <c r="G371" s="59" t="s">
        <v>171</v>
      </c>
      <c r="H371" s="59" t="s">
        <v>234</v>
      </c>
      <c r="I371" s="61">
        <v>15</v>
      </c>
      <c r="J371" s="35"/>
      <c r="K371" s="54">
        <f t="shared" si="2"/>
        <v>0</v>
      </c>
      <c r="L371" s="54">
        <f t="shared" si="3"/>
        <v>0</v>
      </c>
    </row>
    <row r="372" spans="1:12" ht="13.5" customHeight="1">
      <c r="A372" s="64">
        <v>267098</v>
      </c>
      <c r="B372" s="57">
        <v>39097</v>
      </c>
      <c r="C372" s="59">
        <v>512000</v>
      </c>
      <c r="D372" s="58">
        <f>VLOOKUP(C372,Comptes!$A$2:$B$44,2,FALSE)</f>
        <v>0</v>
      </c>
      <c r="E372" s="60">
        <v>754000</v>
      </c>
      <c r="F372" s="58">
        <f>VLOOKUP(E372,Comptes!$A$2:$B$44,2,FALSE)</f>
        <v>0</v>
      </c>
      <c r="G372" s="59" t="s">
        <v>171</v>
      </c>
      <c r="H372" s="59" t="s">
        <v>234</v>
      </c>
      <c r="I372" s="68">
        <v>50</v>
      </c>
      <c r="J372" s="35"/>
      <c r="K372" s="54">
        <f t="shared" si="2"/>
        <v>0</v>
      </c>
      <c r="L372" s="54">
        <f t="shared" si="3"/>
        <v>0</v>
      </c>
    </row>
    <row r="373" spans="1:12" ht="13.5" customHeight="1">
      <c r="A373" s="64">
        <v>267098</v>
      </c>
      <c r="B373" s="57">
        <v>39097</v>
      </c>
      <c r="C373" s="60">
        <v>512000</v>
      </c>
      <c r="D373" s="58">
        <f>VLOOKUP(C373,Comptes!$A$2:$B$44,2,FALSE)</f>
        <v>0</v>
      </c>
      <c r="E373" s="59">
        <v>754000</v>
      </c>
      <c r="F373" s="58">
        <f>VLOOKUP(E373,Comptes!$A$2:$B$44,2,FALSE)</f>
        <v>0</v>
      </c>
      <c r="G373" s="59" t="s">
        <v>171</v>
      </c>
      <c r="H373" s="59" t="s">
        <v>234</v>
      </c>
      <c r="I373" s="61">
        <v>30</v>
      </c>
      <c r="J373" s="35"/>
      <c r="K373" s="54">
        <f t="shared" si="2"/>
        <v>0</v>
      </c>
      <c r="L373" s="54">
        <f t="shared" si="3"/>
        <v>0</v>
      </c>
    </row>
    <row r="374" spans="1:12" ht="13.5" customHeight="1">
      <c r="A374" s="64">
        <v>267099</v>
      </c>
      <c r="B374" s="57">
        <v>39113</v>
      </c>
      <c r="C374" s="60">
        <v>512000</v>
      </c>
      <c r="D374" s="58">
        <f>VLOOKUP(C374,Comptes!$A$2:$B$44,2,FALSE)</f>
        <v>0</v>
      </c>
      <c r="E374" s="59">
        <v>754000</v>
      </c>
      <c r="F374" s="58">
        <f>VLOOKUP(E374,Comptes!$A$2:$B$44,2,FALSE)</f>
        <v>0</v>
      </c>
      <c r="G374" s="59" t="s">
        <v>171</v>
      </c>
      <c r="H374" s="59" t="s">
        <v>240</v>
      </c>
      <c r="I374" s="61">
        <v>38.11</v>
      </c>
      <c r="J374" s="35"/>
      <c r="K374" s="54">
        <f t="shared" si="2"/>
        <v>0</v>
      </c>
      <c r="L374" s="54">
        <f t="shared" si="3"/>
        <v>0</v>
      </c>
    </row>
    <row r="375" spans="1:12" ht="13.5" customHeight="1">
      <c r="A375" s="64">
        <v>267100</v>
      </c>
      <c r="B375" s="57">
        <v>39114</v>
      </c>
      <c r="C375" s="60">
        <v>606700</v>
      </c>
      <c r="D375" s="58">
        <f>VLOOKUP(C375,Comptes!$A$2:$B$44,2,FALSE)</f>
        <v>0</v>
      </c>
      <c r="E375" s="59">
        <v>530000</v>
      </c>
      <c r="F375" s="58">
        <f>VLOOKUP(E375,Comptes!$A$2:$B$44,2,FALSE)</f>
        <v>0</v>
      </c>
      <c r="G375" s="59"/>
      <c r="H375" s="63"/>
      <c r="I375" s="61">
        <f>6.26</f>
        <v>6.26</v>
      </c>
      <c r="J375" s="35"/>
      <c r="K375" s="54">
        <f t="shared" si="2"/>
        <v>1</v>
      </c>
      <c r="L375" s="54">
        <f t="shared" si="3"/>
        <v>0</v>
      </c>
    </row>
    <row r="376" spans="1:12" ht="13.5" customHeight="1">
      <c r="A376" s="64">
        <v>267100</v>
      </c>
      <c r="B376" s="57">
        <v>39114</v>
      </c>
      <c r="C376" s="60">
        <v>606400</v>
      </c>
      <c r="D376" s="58">
        <f>VLOOKUP(C376,Comptes!$A$2:$B$44,2,FALSE)</f>
        <v>0</v>
      </c>
      <c r="E376" s="59">
        <v>530000</v>
      </c>
      <c r="F376" s="58">
        <f>VLOOKUP(E376,Comptes!$A$2:$B$44,2,FALSE)</f>
        <v>0</v>
      </c>
      <c r="G376" s="59"/>
      <c r="H376" s="63"/>
      <c r="I376" s="61">
        <v>2.1</v>
      </c>
      <c r="J376" s="35"/>
      <c r="K376" s="54">
        <f t="shared" si="2"/>
        <v>1</v>
      </c>
      <c r="L376" s="54">
        <f t="shared" si="3"/>
        <v>0</v>
      </c>
    </row>
    <row r="377" spans="1:12" ht="13.5" customHeight="1">
      <c r="A377" s="64">
        <v>267100</v>
      </c>
      <c r="B377" s="57">
        <v>39114</v>
      </c>
      <c r="C377" s="60">
        <v>606700</v>
      </c>
      <c r="D377" s="58">
        <f>VLOOKUP(C377,Comptes!$A$2:$B$44,2,FALSE)</f>
        <v>0</v>
      </c>
      <c r="E377" s="59">
        <v>512000</v>
      </c>
      <c r="F377" s="58">
        <f>VLOOKUP(E377,Comptes!$A$2:$B$44,2,FALSE)</f>
        <v>0</v>
      </c>
      <c r="G377" s="59" t="s">
        <v>252</v>
      </c>
      <c r="H377" s="59" t="s">
        <v>236</v>
      </c>
      <c r="I377" s="61">
        <v>135.8</v>
      </c>
      <c r="J377" s="35"/>
      <c r="K377" s="54">
        <f t="shared" si="2"/>
        <v>0</v>
      </c>
      <c r="L377" s="54">
        <f t="shared" si="3"/>
        <v>0</v>
      </c>
    </row>
    <row r="378" spans="1:12" ht="13.5" customHeight="1">
      <c r="A378" s="64">
        <v>267100</v>
      </c>
      <c r="B378" s="57">
        <v>39114</v>
      </c>
      <c r="C378" s="60">
        <v>613100</v>
      </c>
      <c r="D378" s="58">
        <f>VLOOKUP(C378,Comptes!$A$2:$B$44,2,FALSE)</f>
        <v>0</v>
      </c>
      <c r="E378" s="62">
        <v>512000</v>
      </c>
      <c r="F378" s="58">
        <f>VLOOKUP(E378,Comptes!$A$2:$B$44,2,FALSE)</f>
        <v>0</v>
      </c>
      <c r="G378" s="59" t="s">
        <v>253</v>
      </c>
      <c r="H378" s="59" t="s">
        <v>236</v>
      </c>
      <c r="I378" s="61">
        <v>835</v>
      </c>
      <c r="J378" s="66"/>
      <c r="K378" s="54">
        <f t="shared" si="2"/>
        <v>0</v>
      </c>
      <c r="L378" s="54">
        <f t="shared" si="3"/>
        <v>0</v>
      </c>
    </row>
    <row r="379" spans="1:12" ht="13.5" customHeight="1">
      <c r="A379" s="64">
        <v>267100</v>
      </c>
      <c r="B379" s="57">
        <v>39114</v>
      </c>
      <c r="C379" s="60">
        <v>625000</v>
      </c>
      <c r="D379" s="58">
        <f>VLOOKUP(C379,Comptes!$A$2:$B$44,2,FALSE)</f>
        <v>0</v>
      </c>
      <c r="E379" s="62">
        <v>512000</v>
      </c>
      <c r="F379" s="58">
        <f>VLOOKUP(E379,Comptes!$A$2:$B$44,2,FALSE)</f>
        <v>0</v>
      </c>
      <c r="G379" s="59" t="s">
        <v>253</v>
      </c>
      <c r="H379" s="59" t="s">
        <v>236</v>
      </c>
      <c r="I379" s="61">
        <v>80</v>
      </c>
      <c r="J379" s="35"/>
      <c r="K379" s="54">
        <f t="shared" si="2"/>
        <v>0</v>
      </c>
      <c r="L379" s="54">
        <f t="shared" si="3"/>
        <v>0</v>
      </c>
    </row>
    <row r="380" spans="1:12" ht="13.5" customHeight="1">
      <c r="A380" s="64">
        <v>267101</v>
      </c>
      <c r="B380" s="57">
        <v>39119</v>
      </c>
      <c r="C380" s="60">
        <v>615000</v>
      </c>
      <c r="D380" s="58">
        <f>VLOOKUP(C380,Comptes!$A$2:$B$44,2,FALSE)</f>
        <v>0</v>
      </c>
      <c r="E380" s="59">
        <v>530000</v>
      </c>
      <c r="F380" s="58">
        <f>VLOOKUP(E380,Comptes!$A$2:$B$44,2,FALSE)</f>
        <v>0</v>
      </c>
      <c r="G380" s="59"/>
      <c r="H380" s="63"/>
      <c r="I380" s="61">
        <v>129.22</v>
      </c>
      <c r="J380" s="35" t="s">
        <v>254</v>
      </c>
      <c r="K380" s="54">
        <f t="shared" si="2"/>
        <v>1</v>
      </c>
      <c r="L380" s="54">
        <f t="shared" si="3"/>
        <v>0</v>
      </c>
    </row>
    <row r="381" spans="1:12" ht="13.5" customHeight="1">
      <c r="A381" s="64">
        <v>267101</v>
      </c>
      <c r="B381" s="57">
        <v>39119</v>
      </c>
      <c r="C381" s="60">
        <v>606400</v>
      </c>
      <c r="D381" s="58">
        <f>VLOOKUP(C381,Comptes!$A$2:$B$44,2,FALSE)</f>
        <v>0</v>
      </c>
      <c r="E381" s="59">
        <v>530000</v>
      </c>
      <c r="F381" s="58">
        <f>VLOOKUP(E381,Comptes!$A$2:$B$44,2,FALSE)</f>
        <v>0</v>
      </c>
      <c r="G381" s="59"/>
      <c r="H381" s="63"/>
      <c r="I381" s="61">
        <v>6.95</v>
      </c>
      <c r="J381" s="35"/>
      <c r="K381" s="54">
        <f t="shared" si="2"/>
        <v>1</v>
      </c>
      <c r="L381" s="54">
        <f t="shared" si="3"/>
        <v>0</v>
      </c>
    </row>
    <row r="382" spans="1:12" ht="13.5" customHeight="1">
      <c r="A382" s="64">
        <v>267102</v>
      </c>
      <c r="B382" s="57">
        <v>39119</v>
      </c>
      <c r="C382" s="60">
        <v>512000</v>
      </c>
      <c r="D382" s="58">
        <f>VLOOKUP(C382,Comptes!$A$2:$B$44,2,FALSE)</f>
        <v>0</v>
      </c>
      <c r="E382" s="59">
        <v>706230</v>
      </c>
      <c r="F382" s="58">
        <f>VLOOKUP(E382,Comptes!$A$2:$B$44,2,FALSE)</f>
        <v>0</v>
      </c>
      <c r="G382" s="59" t="s">
        <v>170</v>
      </c>
      <c r="H382" s="59" t="s">
        <v>236</v>
      </c>
      <c r="I382" s="61">
        <v>140</v>
      </c>
      <c r="J382" s="35"/>
      <c r="K382" s="54">
        <f t="shared" si="2"/>
        <v>0</v>
      </c>
      <c r="L382" s="54">
        <f t="shared" si="3"/>
        <v>0</v>
      </c>
    </row>
    <row r="383" spans="1:12" ht="13.5" customHeight="1">
      <c r="A383" s="64">
        <v>267102</v>
      </c>
      <c r="B383" s="57">
        <v>39119</v>
      </c>
      <c r="C383" s="60">
        <v>512000</v>
      </c>
      <c r="D383" s="58">
        <f>VLOOKUP(C383,Comptes!$A$2:$B$44,2,FALSE)</f>
        <v>0</v>
      </c>
      <c r="E383" s="59">
        <v>706210</v>
      </c>
      <c r="F383" s="58">
        <f>VLOOKUP(E383,Comptes!$A$2:$B$44,2,FALSE)</f>
        <v>0</v>
      </c>
      <c r="G383" s="59" t="s">
        <v>170</v>
      </c>
      <c r="H383" s="59" t="s">
        <v>236</v>
      </c>
      <c r="I383" s="61">
        <v>41</v>
      </c>
      <c r="J383" s="35"/>
      <c r="K383" s="54">
        <f t="shared" si="2"/>
        <v>0</v>
      </c>
      <c r="L383" s="54">
        <f t="shared" si="3"/>
        <v>0</v>
      </c>
    </row>
    <row r="384" spans="1:12" ht="13.5" customHeight="1">
      <c r="A384" s="64">
        <v>267102</v>
      </c>
      <c r="B384" s="57">
        <v>39119</v>
      </c>
      <c r="C384" s="60">
        <v>512000</v>
      </c>
      <c r="D384" s="58">
        <f>VLOOKUP(C384,Comptes!$A$2:$B$44,2,FALSE)</f>
        <v>0</v>
      </c>
      <c r="E384" s="59">
        <v>706220</v>
      </c>
      <c r="F384" s="58">
        <f>VLOOKUP(E384,Comptes!$A$2:$B$44,2,FALSE)</f>
        <v>0</v>
      </c>
      <c r="G384" s="59" t="s">
        <v>170</v>
      </c>
      <c r="H384" s="59" t="s">
        <v>236</v>
      </c>
      <c r="I384" s="61">
        <v>28</v>
      </c>
      <c r="J384" s="35"/>
      <c r="K384" s="54">
        <f t="shared" si="2"/>
        <v>0</v>
      </c>
      <c r="L384" s="54">
        <f t="shared" si="3"/>
        <v>0</v>
      </c>
    </row>
    <row r="385" spans="1:12" ht="13.5" customHeight="1">
      <c r="A385" s="64">
        <v>267102</v>
      </c>
      <c r="B385" s="57">
        <v>39119</v>
      </c>
      <c r="C385" s="60">
        <v>512000</v>
      </c>
      <c r="D385" s="58">
        <f>VLOOKUP(C385,Comptes!$A$2:$B$44,2,FALSE)</f>
        <v>0</v>
      </c>
      <c r="E385" s="59">
        <v>511200</v>
      </c>
      <c r="F385" s="58">
        <f>VLOOKUP(E385,Comptes!$A$2:$B$44,2,FALSE)</f>
        <v>0</v>
      </c>
      <c r="G385" s="59" t="s">
        <v>170</v>
      </c>
      <c r="H385" s="59" t="s">
        <v>236</v>
      </c>
      <c r="I385" s="61">
        <v>30</v>
      </c>
      <c r="J385" s="53"/>
      <c r="K385" s="54">
        <f t="shared" si="2"/>
        <v>0</v>
      </c>
      <c r="L385" s="54">
        <f t="shared" si="3"/>
        <v>1</v>
      </c>
    </row>
    <row r="386" spans="1:12" ht="13.5" customHeight="1">
      <c r="A386" s="64">
        <v>267102</v>
      </c>
      <c r="B386" s="57">
        <v>39119</v>
      </c>
      <c r="C386" s="60">
        <v>512000</v>
      </c>
      <c r="D386" s="58">
        <f>VLOOKUP(C386,Comptes!$A$2:$B$44,2,FALSE)</f>
        <v>0</v>
      </c>
      <c r="E386" s="59">
        <v>754000</v>
      </c>
      <c r="F386" s="58">
        <f>VLOOKUP(E386,Comptes!$A$2:$B$44,2,FALSE)</f>
        <v>0</v>
      </c>
      <c r="G386" s="59" t="s">
        <v>170</v>
      </c>
      <c r="H386" s="59" t="s">
        <v>236</v>
      </c>
      <c r="I386" s="61">
        <v>1500</v>
      </c>
      <c r="J386" s="35"/>
      <c r="K386" s="54">
        <f t="shared" si="2"/>
        <v>0</v>
      </c>
      <c r="L386" s="54">
        <f t="shared" si="3"/>
        <v>0</v>
      </c>
    </row>
    <row r="387" spans="1:12" ht="13.5" customHeight="1">
      <c r="A387" s="64">
        <v>267102</v>
      </c>
      <c r="B387" s="57">
        <v>39119</v>
      </c>
      <c r="C387" s="60">
        <v>530000</v>
      </c>
      <c r="D387" s="58">
        <f>VLOOKUP(C387,Comptes!$A$2:$B$44,2,FALSE)</f>
        <v>0</v>
      </c>
      <c r="E387" s="59">
        <v>706230</v>
      </c>
      <c r="F387" s="58">
        <f>VLOOKUP(E387,Comptes!$A$2:$B$44,2,FALSE)</f>
        <v>0</v>
      </c>
      <c r="G387" s="59"/>
      <c r="H387" s="63"/>
      <c r="I387" s="61">
        <v>35</v>
      </c>
      <c r="J387" s="35"/>
      <c r="K387" s="54">
        <f t="shared" si="2"/>
        <v>1</v>
      </c>
      <c r="L387" s="54">
        <f t="shared" si="3"/>
        <v>0</v>
      </c>
    </row>
    <row r="388" spans="1:12" ht="13.5" customHeight="1">
      <c r="A388" s="64">
        <v>267103</v>
      </c>
      <c r="B388" s="57">
        <v>39126</v>
      </c>
      <c r="C388" s="60">
        <v>606110</v>
      </c>
      <c r="D388" s="58">
        <f>VLOOKUP(C388,Comptes!$A$2:$B$44,2,FALSE)</f>
        <v>0</v>
      </c>
      <c r="E388" s="59">
        <v>512000</v>
      </c>
      <c r="F388" s="58">
        <f>VLOOKUP(E388,Comptes!$A$2:$B$44,2,FALSE)</f>
        <v>0</v>
      </c>
      <c r="G388" s="59" t="s">
        <v>178</v>
      </c>
      <c r="H388" s="59" t="s">
        <v>236</v>
      </c>
      <c r="I388" s="61">
        <v>144.72</v>
      </c>
      <c r="J388" s="35"/>
      <c r="K388" s="54">
        <f t="shared" si="2"/>
        <v>0</v>
      </c>
      <c r="L388" s="54">
        <f t="shared" si="3"/>
        <v>0</v>
      </c>
    </row>
    <row r="389" spans="1:12" ht="13.5" customHeight="1">
      <c r="A389" s="64">
        <v>267104</v>
      </c>
      <c r="B389" s="57">
        <v>39115</v>
      </c>
      <c r="C389" s="60">
        <v>512000</v>
      </c>
      <c r="D389" s="58">
        <f>VLOOKUP(C389,Comptes!$A$2:$B$44,2,FALSE)</f>
        <v>0</v>
      </c>
      <c r="E389" s="60">
        <v>754000</v>
      </c>
      <c r="F389" s="58">
        <f>VLOOKUP(E389,Comptes!$A$2:$B$44,2,FALSE)</f>
        <v>0</v>
      </c>
      <c r="G389" s="59" t="s">
        <v>171</v>
      </c>
      <c r="H389" s="59" t="s">
        <v>236</v>
      </c>
      <c r="I389" s="61">
        <v>15.15</v>
      </c>
      <c r="J389" s="64"/>
      <c r="K389" s="54">
        <f t="shared" si="2"/>
        <v>0</v>
      </c>
      <c r="L389" s="54">
        <f t="shared" si="3"/>
        <v>0</v>
      </c>
    </row>
    <row r="390" spans="1:12" ht="13.5" customHeight="1">
      <c r="A390" s="64">
        <v>267105</v>
      </c>
      <c r="B390" s="57">
        <v>39123</v>
      </c>
      <c r="C390" s="60">
        <v>613200</v>
      </c>
      <c r="D390" s="58">
        <f>VLOOKUP(C390,Comptes!$A$2:$B$44,2,FALSE)</f>
        <v>0</v>
      </c>
      <c r="E390" s="59">
        <v>512000</v>
      </c>
      <c r="F390" s="58">
        <f>VLOOKUP(E390,Comptes!$A$2:$B$44,2,FALSE)</f>
        <v>0</v>
      </c>
      <c r="G390" s="59" t="s">
        <v>178</v>
      </c>
      <c r="H390" s="59" t="s">
        <v>236</v>
      </c>
      <c r="I390" s="61">
        <v>972.01</v>
      </c>
      <c r="J390" s="64" t="s">
        <v>255</v>
      </c>
      <c r="K390" s="54">
        <f t="shared" si="2"/>
        <v>0</v>
      </c>
      <c r="L390" s="54">
        <f t="shared" si="3"/>
        <v>0</v>
      </c>
    </row>
    <row r="391" spans="1:12" ht="13.5" customHeight="1">
      <c r="A391" s="64">
        <v>267106</v>
      </c>
      <c r="B391" s="57">
        <v>39121</v>
      </c>
      <c r="C391" s="60">
        <v>606700</v>
      </c>
      <c r="D391" s="58">
        <f>VLOOKUP(C391,Comptes!$A$2:$B$44,2,FALSE)</f>
        <v>0</v>
      </c>
      <c r="E391" s="59">
        <v>530000</v>
      </c>
      <c r="F391" s="58">
        <f>VLOOKUP(E391,Comptes!$A$2:$B$44,2,FALSE)</f>
        <v>0</v>
      </c>
      <c r="G391" s="59"/>
      <c r="H391" s="63"/>
      <c r="I391" s="61">
        <v>15.4</v>
      </c>
      <c r="J391" s="35"/>
      <c r="K391" s="54">
        <f t="shared" si="2"/>
        <v>1</v>
      </c>
      <c r="L391" s="54">
        <f t="shared" si="3"/>
        <v>0</v>
      </c>
    </row>
    <row r="392" spans="1:12" ht="13.5" customHeight="1">
      <c r="A392" s="64">
        <v>267106</v>
      </c>
      <c r="B392" s="57">
        <v>39121</v>
      </c>
      <c r="C392" s="60">
        <v>606700</v>
      </c>
      <c r="D392" s="58">
        <f>VLOOKUP(C392,Comptes!$A$2:$B$44,2,FALSE)</f>
        <v>0</v>
      </c>
      <c r="E392" s="59">
        <v>512000</v>
      </c>
      <c r="F392" s="58">
        <f>VLOOKUP(E392,Comptes!$A$2:$B$44,2,FALSE)</f>
        <v>0</v>
      </c>
      <c r="G392" s="59" t="s">
        <v>256</v>
      </c>
      <c r="H392" s="59" t="s">
        <v>236</v>
      </c>
      <c r="I392" s="61">
        <v>157.45</v>
      </c>
      <c r="J392" s="35"/>
      <c r="K392" s="54">
        <f t="shared" si="2"/>
        <v>0</v>
      </c>
      <c r="L392" s="54">
        <f t="shared" si="3"/>
        <v>0</v>
      </c>
    </row>
    <row r="393" spans="1:12" ht="13.5" customHeight="1">
      <c r="A393" s="64">
        <v>267107</v>
      </c>
      <c r="B393" s="57">
        <v>39123</v>
      </c>
      <c r="C393" s="60">
        <v>630000</v>
      </c>
      <c r="D393" s="58">
        <f>VLOOKUP(C393,Comptes!$A$2:$B$44,2,FALSE)</f>
        <v>0</v>
      </c>
      <c r="E393" s="59">
        <v>512000</v>
      </c>
      <c r="F393" s="58">
        <f>VLOOKUP(E393,Comptes!$A$2:$B$44,2,FALSE)</f>
        <v>0</v>
      </c>
      <c r="G393" s="59" t="s">
        <v>257</v>
      </c>
      <c r="H393" s="59" t="s">
        <v>258</v>
      </c>
      <c r="I393" s="61">
        <v>62</v>
      </c>
      <c r="J393" s="35"/>
      <c r="K393" s="54">
        <f t="shared" si="2"/>
        <v>0</v>
      </c>
      <c r="L393" s="54">
        <f t="shared" si="3"/>
        <v>0</v>
      </c>
    </row>
    <row r="394" spans="1:12" ht="13.5" customHeight="1">
      <c r="A394" s="64">
        <v>267108</v>
      </c>
      <c r="B394" s="57">
        <v>39124</v>
      </c>
      <c r="C394" s="60">
        <v>626000</v>
      </c>
      <c r="D394" s="58">
        <f>VLOOKUP(C394,Comptes!$A$2:$B$44,2,FALSE)</f>
        <v>0</v>
      </c>
      <c r="E394" s="59">
        <v>530000</v>
      </c>
      <c r="F394" s="58">
        <f>VLOOKUP(E394,Comptes!$A$2:$B$44,2,FALSE)</f>
        <v>0</v>
      </c>
      <c r="G394" s="59"/>
      <c r="H394" s="63"/>
      <c r="I394" s="61">
        <v>275</v>
      </c>
      <c r="J394" s="35"/>
      <c r="K394" s="54">
        <f t="shared" si="2"/>
        <v>1</v>
      </c>
      <c r="L394" s="54">
        <f t="shared" si="3"/>
        <v>0</v>
      </c>
    </row>
    <row r="395" spans="1:12" ht="13.5" customHeight="1">
      <c r="A395" s="64">
        <v>267108</v>
      </c>
      <c r="B395" s="57">
        <v>39124</v>
      </c>
      <c r="C395" s="60">
        <v>615000</v>
      </c>
      <c r="D395" s="58">
        <f>VLOOKUP(C395,Comptes!$A$2:$B$44,2,FALSE)</f>
        <v>0</v>
      </c>
      <c r="E395" s="59">
        <v>530000</v>
      </c>
      <c r="F395" s="58">
        <f>VLOOKUP(E395,Comptes!$A$2:$B$44,2,FALSE)</f>
        <v>0</v>
      </c>
      <c r="G395" s="59"/>
      <c r="H395" s="63"/>
      <c r="I395" s="61">
        <v>19.87</v>
      </c>
      <c r="J395" s="35"/>
      <c r="K395" s="54">
        <f t="shared" si="2"/>
        <v>1</v>
      </c>
      <c r="L395" s="54">
        <f t="shared" si="3"/>
        <v>0</v>
      </c>
    </row>
    <row r="396" spans="1:12" ht="13.5" customHeight="1">
      <c r="A396" s="64">
        <v>267109</v>
      </c>
      <c r="B396" s="57">
        <v>39137</v>
      </c>
      <c r="C396" s="60">
        <v>626500</v>
      </c>
      <c r="D396" s="58">
        <f>VLOOKUP(C396,Comptes!$A$2:$B$44,2,FALSE)</f>
        <v>0</v>
      </c>
      <c r="E396" s="59">
        <v>512000</v>
      </c>
      <c r="F396" s="58">
        <f>VLOOKUP(E396,Comptes!$A$2:$B$44,2,FALSE)</f>
        <v>0</v>
      </c>
      <c r="G396" s="59" t="s">
        <v>178</v>
      </c>
      <c r="H396" s="59" t="s">
        <v>258</v>
      </c>
      <c r="I396" s="61">
        <v>43.33</v>
      </c>
      <c r="J396" s="35"/>
      <c r="K396" s="54">
        <f t="shared" si="2"/>
        <v>0</v>
      </c>
      <c r="L396" s="54">
        <f t="shared" si="3"/>
        <v>0</v>
      </c>
    </row>
    <row r="397" spans="1:12" ht="13.5" customHeight="1">
      <c r="A397" s="64">
        <v>267110</v>
      </c>
      <c r="B397" s="57">
        <v>39124</v>
      </c>
      <c r="C397" s="60">
        <v>606700</v>
      </c>
      <c r="D397" s="58">
        <f>VLOOKUP(C397,Comptes!$A$2:$B$44,2,FALSE)</f>
        <v>0</v>
      </c>
      <c r="E397" s="59">
        <v>530000</v>
      </c>
      <c r="F397" s="58">
        <f>VLOOKUP(E397,Comptes!$A$2:$B$44,2,FALSE)</f>
        <v>0</v>
      </c>
      <c r="G397" s="59"/>
      <c r="H397" s="63"/>
      <c r="I397" s="61">
        <v>33.34</v>
      </c>
      <c r="J397" s="35"/>
      <c r="K397" s="54">
        <f t="shared" si="2"/>
        <v>1</v>
      </c>
      <c r="L397" s="54">
        <f t="shared" si="3"/>
        <v>0</v>
      </c>
    </row>
    <row r="398" spans="1:12" ht="13.5" customHeight="1">
      <c r="A398" s="64">
        <v>267110</v>
      </c>
      <c r="B398" s="57">
        <v>39124</v>
      </c>
      <c r="C398" s="60">
        <v>511200</v>
      </c>
      <c r="D398" s="58">
        <f>VLOOKUP(C398,Comptes!$A$2:$B$44,2,FALSE)</f>
        <v>0</v>
      </c>
      <c r="E398" s="62">
        <v>512000</v>
      </c>
      <c r="F398" s="58">
        <f>VLOOKUP(E398,Comptes!$A$2:$B$44,2,FALSE)</f>
        <v>0</v>
      </c>
      <c r="G398" s="59" t="s">
        <v>259</v>
      </c>
      <c r="H398" s="59" t="s">
        <v>236</v>
      </c>
      <c r="I398" s="61">
        <f>835*8</f>
        <v>6680</v>
      </c>
      <c r="J398" s="53"/>
      <c r="K398" s="54">
        <f t="shared" si="2"/>
        <v>0</v>
      </c>
      <c r="L398" s="54">
        <f t="shared" si="3"/>
        <v>1</v>
      </c>
    </row>
    <row r="399" spans="1:12" ht="13.5" customHeight="1">
      <c r="A399" s="64">
        <v>267110</v>
      </c>
      <c r="B399" s="57">
        <v>39141</v>
      </c>
      <c r="C399" s="60">
        <v>613100</v>
      </c>
      <c r="D399" s="58">
        <f>VLOOKUP(C399,Comptes!$A$2:$B$44,2,FALSE)</f>
        <v>0</v>
      </c>
      <c r="E399" s="62">
        <v>511200</v>
      </c>
      <c r="F399" s="58">
        <f>VLOOKUP(E399,Comptes!$A$2:$B$44,2,FALSE)</f>
        <v>0</v>
      </c>
      <c r="G399" s="59"/>
      <c r="H399" s="59"/>
      <c r="I399" s="61">
        <v>835</v>
      </c>
      <c r="J399" s="67"/>
      <c r="K399" s="54">
        <f t="shared" si="2"/>
        <v>0</v>
      </c>
      <c r="L399" s="54">
        <f t="shared" si="3"/>
        <v>1</v>
      </c>
    </row>
    <row r="400" spans="1:12" ht="13.5" customHeight="1">
      <c r="A400" s="64">
        <v>267110</v>
      </c>
      <c r="B400" s="57">
        <v>39172</v>
      </c>
      <c r="C400" s="60">
        <v>613100</v>
      </c>
      <c r="D400" s="58">
        <f>VLOOKUP(C400,Comptes!$A$2:$B$44,2,FALSE)</f>
        <v>0</v>
      </c>
      <c r="E400" s="62">
        <v>511200</v>
      </c>
      <c r="F400" s="58">
        <f>VLOOKUP(E400,Comptes!$A$2:$B$44,2,FALSE)</f>
        <v>0</v>
      </c>
      <c r="G400" s="59"/>
      <c r="H400" s="59"/>
      <c r="I400" s="61">
        <v>835</v>
      </c>
      <c r="J400" s="67"/>
      <c r="K400" s="54">
        <f t="shared" si="2"/>
        <v>0</v>
      </c>
      <c r="L400" s="54">
        <f t="shared" si="3"/>
        <v>1</v>
      </c>
    </row>
    <row r="401" spans="1:12" ht="13.5" customHeight="1">
      <c r="A401" s="64">
        <v>267110</v>
      </c>
      <c r="B401" s="57">
        <v>39124</v>
      </c>
      <c r="C401" s="60">
        <v>622600</v>
      </c>
      <c r="D401" s="58">
        <f>VLOOKUP(C401,Comptes!$A$2:$B$44,2,FALSE)</f>
        <v>0</v>
      </c>
      <c r="E401" s="62">
        <v>512000</v>
      </c>
      <c r="F401" s="58">
        <f>VLOOKUP(E401,Comptes!$A$2:$B$44,2,FALSE)</f>
        <v>0</v>
      </c>
      <c r="G401" s="59" t="s">
        <v>260</v>
      </c>
      <c r="H401" s="59" t="s">
        <v>258</v>
      </c>
      <c r="I401" s="61">
        <v>380</v>
      </c>
      <c r="J401" s="66" t="s">
        <v>261</v>
      </c>
      <c r="K401" s="54">
        <f t="shared" si="2"/>
        <v>0</v>
      </c>
      <c r="L401" s="54">
        <f t="shared" si="3"/>
        <v>0</v>
      </c>
    </row>
    <row r="402" spans="1:12" ht="13.5" customHeight="1">
      <c r="A402" s="64">
        <v>267111</v>
      </c>
      <c r="B402" s="57">
        <v>39123</v>
      </c>
      <c r="C402" s="60">
        <v>641000</v>
      </c>
      <c r="D402" s="58">
        <f>VLOOKUP(C402,Comptes!$A$2:$B$44,2,FALSE)</f>
        <v>0</v>
      </c>
      <c r="E402" s="59">
        <v>512000</v>
      </c>
      <c r="F402" s="58">
        <f>VLOOKUP(E402,Comptes!$A$2:$B$44,2,FALSE)</f>
        <v>0</v>
      </c>
      <c r="G402" s="36" t="s">
        <v>262</v>
      </c>
      <c r="H402" s="59" t="s">
        <v>236</v>
      </c>
      <c r="I402" s="61">
        <v>343.2</v>
      </c>
      <c r="J402" s="35"/>
      <c r="K402" s="54">
        <f t="shared" si="2"/>
        <v>0</v>
      </c>
      <c r="L402" s="54">
        <f t="shared" si="3"/>
        <v>0</v>
      </c>
    </row>
    <row r="403" spans="1:12" ht="13.5" customHeight="1">
      <c r="A403" s="64">
        <v>267111</v>
      </c>
      <c r="B403" s="57">
        <v>39123</v>
      </c>
      <c r="C403" s="60">
        <v>645000</v>
      </c>
      <c r="D403" s="58">
        <f>VLOOKUP(C403,Comptes!$A$2:$B$44,2,FALSE)</f>
        <v>0</v>
      </c>
      <c r="E403" s="59">
        <v>512000</v>
      </c>
      <c r="F403" s="58">
        <f>VLOOKUP(E403,Comptes!$A$2:$B$44,2,FALSE)</f>
        <v>0</v>
      </c>
      <c r="G403" s="59" t="s">
        <v>178</v>
      </c>
      <c r="H403" s="59" t="s">
        <v>263</v>
      </c>
      <c r="I403" s="61">
        <v>181</v>
      </c>
      <c r="J403" s="35"/>
      <c r="K403" s="54">
        <f t="shared" si="2"/>
        <v>0</v>
      </c>
      <c r="L403" s="54">
        <f t="shared" si="3"/>
        <v>0</v>
      </c>
    </row>
    <row r="404" spans="1:12" ht="13.5" customHeight="1">
      <c r="A404" s="64">
        <v>267112</v>
      </c>
      <c r="B404" s="57">
        <v>39126</v>
      </c>
      <c r="C404" s="60">
        <v>625000</v>
      </c>
      <c r="D404" s="58">
        <f>VLOOKUP(C404,Comptes!$A$2:$B$44,2,FALSE)</f>
        <v>0</v>
      </c>
      <c r="E404" s="59">
        <v>530000</v>
      </c>
      <c r="F404" s="58">
        <f>VLOOKUP(E404,Comptes!$A$2:$B$44,2,FALSE)</f>
        <v>0</v>
      </c>
      <c r="G404" s="59"/>
      <c r="H404" s="63"/>
      <c r="I404" s="61">
        <v>430.4</v>
      </c>
      <c r="J404" s="35"/>
      <c r="K404" s="54">
        <f t="shared" si="2"/>
        <v>1</v>
      </c>
      <c r="L404" s="54">
        <f t="shared" si="3"/>
        <v>0</v>
      </c>
    </row>
    <row r="405" spans="1:12" ht="13.5" customHeight="1">
      <c r="A405" s="64">
        <v>267113</v>
      </c>
      <c r="B405" s="57">
        <v>39124</v>
      </c>
      <c r="C405" s="60">
        <v>512000</v>
      </c>
      <c r="D405" s="58">
        <f>VLOOKUP(C405,Comptes!$A$2:$B$44,2,FALSE)</f>
        <v>0</v>
      </c>
      <c r="E405" s="60">
        <v>706230</v>
      </c>
      <c r="F405" s="58">
        <f>VLOOKUP(E405,Comptes!$A$2:$B$44,2,FALSE)</f>
        <v>0</v>
      </c>
      <c r="G405" s="59" t="s">
        <v>170</v>
      </c>
      <c r="H405" s="59" t="s">
        <v>236</v>
      </c>
      <c r="I405" s="61">
        <v>208</v>
      </c>
      <c r="J405" s="35"/>
      <c r="K405" s="54">
        <f t="shared" si="2"/>
        <v>0</v>
      </c>
      <c r="L405" s="54">
        <f t="shared" si="3"/>
        <v>0</v>
      </c>
    </row>
    <row r="406" spans="1:12" ht="13.5" customHeight="1">
      <c r="A406" s="64">
        <v>267113</v>
      </c>
      <c r="B406" s="57">
        <v>39124</v>
      </c>
      <c r="C406" s="60">
        <v>512000</v>
      </c>
      <c r="D406" s="58">
        <f>VLOOKUP(C406,Comptes!$A$2:$B$44,2,FALSE)</f>
        <v>0</v>
      </c>
      <c r="E406" s="60">
        <v>706210</v>
      </c>
      <c r="F406" s="58">
        <f>VLOOKUP(E406,Comptes!$A$2:$B$44,2,FALSE)</f>
        <v>0</v>
      </c>
      <c r="G406" s="59" t="s">
        <v>170</v>
      </c>
      <c r="H406" s="59" t="s">
        <v>236</v>
      </c>
      <c r="I406" s="61">
        <v>140</v>
      </c>
      <c r="J406" s="35"/>
      <c r="K406" s="54">
        <f t="shared" si="2"/>
        <v>0</v>
      </c>
      <c r="L406" s="54">
        <f t="shared" si="3"/>
        <v>0</v>
      </c>
    </row>
    <row r="407" spans="1:12" ht="13.5" customHeight="1">
      <c r="A407" s="64">
        <v>267113</v>
      </c>
      <c r="B407" s="57">
        <v>39124</v>
      </c>
      <c r="C407" s="60">
        <v>512000</v>
      </c>
      <c r="D407" s="58">
        <f>VLOOKUP(C407,Comptes!$A$2:$B$44,2,FALSE)</f>
        <v>0</v>
      </c>
      <c r="E407" s="60">
        <v>706220</v>
      </c>
      <c r="F407" s="58">
        <f>VLOOKUP(E407,Comptes!$A$2:$B$44,2,FALSE)</f>
        <v>0</v>
      </c>
      <c r="G407" s="59" t="s">
        <v>170</v>
      </c>
      <c r="H407" s="59" t="s">
        <v>236</v>
      </c>
      <c r="I407" s="61">
        <v>133</v>
      </c>
      <c r="J407" s="35"/>
      <c r="K407" s="54">
        <f t="shared" si="2"/>
        <v>0</v>
      </c>
      <c r="L407" s="54">
        <f t="shared" si="3"/>
        <v>0</v>
      </c>
    </row>
    <row r="408" spans="1:12" ht="13.5" customHeight="1">
      <c r="A408" s="64">
        <v>267113</v>
      </c>
      <c r="B408" s="57">
        <v>39124</v>
      </c>
      <c r="C408" s="60">
        <v>512000</v>
      </c>
      <c r="D408" s="58">
        <f>VLOOKUP(C408,Comptes!$A$2:$B$44,2,FALSE)</f>
        <v>0</v>
      </c>
      <c r="E408" s="60">
        <v>706320</v>
      </c>
      <c r="F408" s="58">
        <f>VLOOKUP(E408,Comptes!$A$2:$B$44,2,FALSE)</f>
        <v>0</v>
      </c>
      <c r="G408" s="59" t="s">
        <v>170</v>
      </c>
      <c r="H408" s="59" t="s">
        <v>236</v>
      </c>
      <c r="I408" s="61">
        <v>707.08</v>
      </c>
      <c r="J408" s="35"/>
      <c r="K408" s="54">
        <f t="shared" si="2"/>
        <v>0</v>
      </c>
      <c r="L408" s="54">
        <f t="shared" si="3"/>
        <v>0</v>
      </c>
    </row>
    <row r="409" spans="1:12" ht="13.5" customHeight="1">
      <c r="A409" s="64">
        <v>267113</v>
      </c>
      <c r="B409" s="57">
        <v>39124</v>
      </c>
      <c r="C409" s="60">
        <v>512000</v>
      </c>
      <c r="D409" s="58">
        <f>VLOOKUP(C409,Comptes!$A$2:$B$44,2,FALSE)</f>
        <v>0</v>
      </c>
      <c r="E409" s="59">
        <v>706100</v>
      </c>
      <c r="F409" s="58">
        <f>VLOOKUP(E409,Comptes!$A$2:$B$44,2,FALSE)</f>
        <v>0</v>
      </c>
      <c r="G409" s="59" t="s">
        <v>170</v>
      </c>
      <c r="H409" s="59" t="s">
        <v>236</v>
      </c>
      <c r="I409" s="61">
        <v>100</v>
      </c>
      <c r="J409" s="35"/>
      <c r="K409" s="54">
        <f t="shared" si="2"/>
        <v>0</v>
      </c>
      <c r="L409" s="54">
        <f t="shared" si="3"/>
        <v>0</v>
      </c>
    </row>
    <row r="410" spans="1:12" ht="13.5" customHeight="1">
      <c r="A410" s="64">
        <v>267113</v>
      </c>
      <c r="B410" s="57">
        <v>39124</v>
      </c>
      <c r="C410" s="60">
        <v>512000</v>
      </c>
      <c r="D410" s="58">
        <f>VLOOKUP(C410,Comptes!$A$2:$B$44,2,FALSE)</f>
        <v>0</v>
      </c>
      <c r="E410" s="59">
        <v>754000</v>
      </c>
      <c r="F410" s="58">
        <f>VLOOKUP(E410,Comptes!$A$2:$B$44,2,FALSE)</f>
        <v>0</v>
      </c>
      <c r="G410" s="59" t="s">
        <v>170</v>
      </c>
      <c r="H410" s="59" t="s">
        <v>236</v>
      </c>
      <c r="I410" s="61">
        <v>40</v>
      </c>
      <c r="J410" s="35"/>
      <c r="K410" s="54">
        <f t="shared" si="2"/>
        <v>0</v>
      </c>
      <c r="L410" s="54">
        <f t="shared" si="3"/>
        <v>0</v>
      </c>
    </row>
    <row r="411" spans="1:12" ht="13.5" customHeight="1">
      <c r="A411" s="64">
        <v>267113</v>
      </c>
      <c r="B411" s="57">
        <v>39124</v>
      </c>
      <c r="C411" s="60">
        <v>512000</v>
      </c>
      <c r="D411" s="58">
        <f>VLOOKUP(C411,Comptes!$A$2:$B$44,2,FALSE)</f>
        <v>0</v>
      </c>
      <c r="E411" s="59">
        <v>754000</v>
      </c>
      <c r="F411" s="58">
        <f>VLOOKUP(E411,Comptes!$A$2:$B$44,2,FALSE)</f>
        <v>0</v>
      </c>
      <c r="G411" s="59" t="s">
        <v>170</v>
      </c>
      <c r="H411" s="59" t="s">
        <v>236</v>
      </c>
      <c r="I411" s="61">
        <v>959</v>
      </c>
      <c r="J411" s="35"/>
      <c r="K411" s="54">
        <f t="shared" si="2"/>
        <v>0</v>
      </c>
      <c r="L411" s="54">
        <f t="shared" si="3"/>
        <v>0</v>
      </c>
    </row>
    <row r="412" spans="1:12" ht="13.5" customHeight="1">
      <c r="A412" s="64">
        <v>267113</v>
      </c>
      <c r="B412" s="57">
        <v>39124</v>
      </c>
      <c r="C412" s="60">
        <v>512000</v>
      </c>
      <c r="D412" s="58">
        <f>VLOOKUP(C412,Comptes!$A$2:$B$44,2,FALSE)</f>
        <v>0</v>
      </c>
      <c r="E412" s="59">
        <v>756000</v>
      </c>
      <c r="F412" s="58">
        <f>VLOOKUP(E412,Comptes!$A$2:$B$44,2,FALSE)</f>
        <v>0</v>
      </c>
      <c r="G412" s="59" t="s">
        <v>170</v>
      </c>
      <c r="H412" s="59" t="s">
        <v>236</v>
      </c>
      <c r="I412" s="61">
        <v>128</v>
      </c>
      <c r="J412" s="35"/>
      <c r="K412" s="54">
        <f t="shared" si="2"/>
        <v>0</v>
      </c>
      <c r="L412" s="54">
        <f t="shared" si="3"/>
        <v>0</v>
      </c>
    </row>
    <row r="413" spans="1:12" ht="13.5" customHeight="1">
      <c r="A413" s="64">
        <v>267113</v>
      </c>
      <c r="B413" s="57">
        <v>39124</v>
      </c>
      <c r="C413" s="60">
        <v>512000</v>
      </c>
      <c r="D413" s="58">
        <f>VLOOKUP(C413,Comptes!$A$2:$B$44,2,FALSE)</f>
        <v>0</v>
      </c>
      <c r="E413" s="59">
        <v>708000</v>
      </c>
      <c r="F413" s="58">
        <f>VLOOKUP(E413,Comptes!$A$2:$B$44,2,FALSE)</f>
        <v>0</v>
      </c>
      <c r="G413" s="59" t="s">
        <v>170</v>
      </c>
      <c r="H413" s="59" t="s">
        <v>236</v>
      </c>
      <c r="I413" s="61">
        <v>36</v>
      </c>
      <c r="J413" s="35"/>
      <c r="K413" s="54">
        <f t="shared" si="2"/>
        <v>0</v>
      </c>
      <c r="L413" s="54">
        <f t="shared" si="3"/>
        <v>0</v>
      </c>
    </row>
    <row r="414" spans="1:12" ht="13.5" customHeight="1">
      <c r="A414" s="64">
        <v>267113</v>
      </c>
      <c r="B414" s="57">
        <v>39124</v>
      </c>
      <c r="C414" s="60">
        <v>511200</v>
      </c>
      <c r="D414" s="58">
        <f>VLOOKUP(C414,Comptes!$A$2:$B$44,2,FALSE)</f>
        <v>0</v>
      </c>
      <c r="E414" s="59">
        <v>512000</v>
      </c>
      <c r="F414" s="58">
        <f>VLOOKUP(E414,Comptes!$A$2:$B$44,2,FALSE)</f>
        <v>0</v>
      </c>
      <c r="G414" s="59" t="s">
        <v>170</v>
      </c>
      <c r="H414" s="59" t="s">
        <v>236</v>
      </c>
      <c r="I414" s="61">
        <v>77</v>
      </c>
      <c r="J414" s="53"/>
      <c r="K414" s="54">
        <f t="shared" si="2"/>
        <v>0</v>
      </c>
      <c r="L414" s="54">
        <f t="shared" si="3"/>
        <v>1</v>
      </c>
    </row>
    <row r="415" spans="1:12" ht="13.5" customHeight="1">
      <c r="A415" s="64">
        <v>267113</v>
      </c>
      <c r="B415" s="57">
        <v>39124</v>
      </c>
      <c r="C415" s="60">
        <v>530000</v>
      </c>
      <c r="D415" s="58">
        <f>VLOOKUP(C415,Comptes!$A$2:$B$44,2,FALSE)</f>
        <v>0</v>
      </c>
      <c r="E415" s="60">
        <v>706230</v>
      </c>
      <c r="F415" s="58">
        <f>VLOOKUP(E415,Comptes!$A$2:$B$44,2,FALSE)</f>
        <v>0</v>
      </c>
      <c r="G415" s="59"/>
      <c r="H415" s="63"/>
      <c r="I415" s="61">
        <v>188</v>
      </c>
      <c r="J415" s="35"/>
      <c r="K415" s="54">
        <f t="shared" si="2"/>
        <v>1</v>
      </c>
      <c r="L415" s="54">
        <f t="shared" si="3"/>
        <v>0</v>
      </c>
    </row>
    <row r="416" spans="1:12" ht="13.5" customHeight="1">
      <c r="A416" s="64">
        <v>267113</v>
      </c>
      <c r="B416" s="57">
        <v>39124</v>
      </c>
      <c r="C416" s="60">
        <v>530000</v>
      </c>
      <c r="D416" s="58">
        <f>VLOOKUP(C416,Comptes!$A$2:$B$44,2,FALSE)</f>
        <v>0</v>
      </c>
      <c r="E416" s="60">
        <v>706210</v>
      </c>
      <c r="F416" s="58">
        <f>VLOOKUP(E416,Comptes!$A$2:$B$44,2,FALSE)</f>
        <v>0</v>
      </c>
      <c r="G416" s="59"/>
      <c r="H416" s="63"/>
      <c r="I416" s="61">
        <v>102</v>
      </c>
      <c r="J416" s="35"/>
      <c r="K416" s="54">
        <f t="shared" si="2"/>
        <v>1</v>
      </c>
      <c r="L416" s="54">
        <f t="shared" si="3"/>
        <v>0</v>
      </c>
    </row>
    <row r="417" spans="1:12" ht="13.5" customHeight="1">
      <c r="A417" s="64">
        <v>267113</v>
      </c>
      <c r="B417" s="57">
        <v>39124</v>
      </c>
      <c r="C417" s="60">
        <v>530000</v>
      </c>
      <c r="D417" s="58">
        <f>VLOOKUP(C417,Comptes!$A$2:$B$44,2,FALSE)</f>
        <v>0</v>
      </c>
      <c r="E417" s="60">
        <v>706220</v>
      </c>
      <c r="F417" s="58">
        <f>VLOOKUP(E417,Comptes!$A$2:$B$44,2,FALSE)</f>
        <v>0</v>
      </c>
      <c r="G417" s="59"/>
      <c r="H417" s="63"/>
      <c r="I417" s="61">
        <v>112</v>
      </c>
      <c r="J417" s="35"/>
      <c r="K417" s="54">
        <f t="shared" si="2"/>
        <v>1</v>
      </c>
      <c r="L417" s="54">
        <f t="shared" si="3"/>
        <v>0</v>
      </c>
    </row>
    <row r="418" spans="1:12" ht="13.5" customHeight="1">
      <c r="A418" s="64">
        <v>267113</v>
      </c>
      <c r="B418" s="57">
        <v>39124</v>
      </c>
      <c r="C418" s="60">
        <v>530000</v>
      </c>
      <c r="D418" s="58">
        <f>VLOOKUP(C418,Comptes!$A$2:$B$44,2,FALSE)</f>
        <v>0</v>
      </c>
      <c r="E418" s="60">
        <v>706230</v>
      </c>
      <c r="F418" s="58">
        <f>VLOOKUP(E418,Comptes!$A$2:$B$44,2,FALSE)</f>
        <v>0</v>
      </c>
      <c r="G418" s="59"/>
      <c r="H418" s="63"/>
      <c r="I418" s="61">
        <v>24</v>
      </c>
      <c r="J418" s="35"/>
      <c r="K418" s="54">
        <f t="shared" si="2"/>
        <v>1</v>
      </c>
      <c r="L418" s="54">
        <f t="shared" si="3"/>
        <v>0</v>
      </c>
    </row>
    <row r="419" spans="1:12" ht="13.5" customHeight="1">
      <c r="A419" s="64">
        <v>267113</v>
      </c>
      <c r="B419" s="57">
        <v>39124</v>
      </c>
      <c r="C419" s="60">
        <v>530000</v>
      </c>
      <c r="D419" s="58">
        <f>VLOOKUP(C419,Comptes!$A$2:$B$44,2,FALSE)</f>
        <v>0</v>
      </c>
      <c r="E419" s="60">
        <v>706210</v>
      </c>
      <c r="F419" s="58">
        <f>VLOOKUP(E419,Comptes!$A$2:$B$44,2,FALSE)</f>
        <v>0</v>
      </c>
      <c r="G419" s="59"/>
      <c r="H419" s="63"/>
      <c r="I419" s="61">
        <v>1012</v>
      </c>
      <c r="J419" s="35"/>
      <c r="K419" s="54">
        <f t="shared" si="2"/>
        <v>1</v>
      </c>
      <c r="L419" s="54">
        <f t="shared" si="3"/>
        <v>0</v>
      </c>
    </row>
    <row r="420" spans="1:12" ht="13.5" customHeight="1">
      <c r="A420" s="64">
        <v>267114</v>
      </c>
      <c r="B420" s="57">
        <v>39122</v>
      </c>
      <c r="C420" s="60">
        <v>512000</v>
      </c>
      <c r="D420" s="58">
        <f>VLOOKUP(C420,Comptes!$A$2:$B$44,2,FALSE)</f>
        <v>0</v>
      </c>
      <c r="E420" s="60">
        <v>754000</v>
      </c>
      <c r="F420" s="58">
        <f>VLOOKUP(E420,Comptes!$A$2:$B$44,2,FALSE)</f>
        <v>0</v>
      </c>
      <c r="G420" s="59" t="s">
        <v>171</v>
      </c>
      <c r="H420" s="59" t="s">
        <v>236</v>
      </c>
      <c r="I420" s="61">
        <v>2500</v>
      </c>
      <c r="J420" s="35"/>
      <c r="K420" s="54">
        <f t="shared" si="2"/>
        <v>0</v>
      </c>
      <c r="L420" s="54">
        <f t="shared" si="3"/>
        <v>0</v>
      </c>
    </row>
    <row r="421" spans="1:12" ht="13.5" customHeight="1">
      <c r="A421" s="64">
        <v>267115</v>
      </c>
      <c r="B421" s="57">
        <v>39126</v>
      </c>
      <c r="C421" s="60">
        <v>626500</v>
      </c>
      <c r="D421" s="58">
        <f>VLOOKUP(C421,Comptes!$A$2:$B$44,2,FALSE)</f>
        <v>0</v>
      </c>
      <c r="E421" s="59">
        <v>512000</v>
      </c>
      <c r="F421" s="58">
        <f>VLOOKUP(E421,Comptes!$A$2:$B$44,2,FALSE)</f>
        <v>0</v>
      </c>
      <c r="G421" s="36" t="s">
        <v>178</v>
      </c>
      <c r="H421" s="59" t="s">
        <v>236</v>
      </c>
      <c r="I421" s="61">
        <v>21.4</v>
      </c>
      <c r="J421" s="35" t="s">
        <v>184</v>
      </c>
      <c r="K421" s="54">
        <f t="shared" si="2"/>
        <v>0</v>
      </c>
      <c r="L421" s="54">
        <f t="shared" si="3"/>
        <v>0</v>
      </c>
    </row>
    <row r="422" spans="1:12" ht="13.5" customHeight="1">
      <c r="A422" s="65">
        <v>256173</v>
      </c>
      <c r="B422" s="57">
        <v>39126</v>
      </c>
      <c r="C422" s="60">
        <v>606110</v>
      </c>
      <c r="D422" s="58">
        <f>VLOOKUP(C422,Comptes!$A$2:$B$44,2,FALSE)</f>
        <v>0</v>
      </c>
      <c r="E422" s="59">
        <v>512000</v>
      </c>
      <c r="F422" s="58">
        <f>VLOOKUP(E422,Comptes!$A$2:$B$44,2,FALSE)</f>
        <v>0</v>
      </c>
      <c r="G422" s="36" t="s">
        <v>178</v>
      </c>
      <c r="H422" s="59" t="s">
        <v>236</v>
      </c>
      <c r="I422" s="37">
        <v>147</v>
      </c>
      <c r="J422" s="35" t="s">
        <v>181</v>
      </c>
      <c r="K422" s="54">
        <f t="shared" si="2"/>
        <v>0</v>
      </c>
      <c r="L422" s="54">
        <f t="shared" si="3"/>
        <v>0</v>
      </c>
    </row>
    <row r="423" spans="1:12" ht="13.5" customHeight="1">
      <c r="A423" s="64">
        <v>267116</v>
      </c>
      <c r="B423" s="57">
        <v>39129</v>
      </c>
      <c r="C423" s="60">
        <v>606700</v>
      </c>
      <c r="D423" s="58">
        <f>VLOOKUP(C423,Comptes!$A$2:$B$44,2,FALSE)</f>
        <v>0</v>
      </c>
      <c r="E423" s="60">
        <v>530000</v>
      </c>
      <c r="F423" s="58">
        <f>VLOOKUP(E423,Comptes!$A$2:$B$44,2,FALSE)</f>
        <v>0</v>
      </c>
      <c r="G423" s="59"/>
      <c r="H423" s="63"/>
      <c r="I423" s="61">
        <v>399.96</v>
      </c>
      <c r="J423" s="35"/>
      <c r="K423" s="54">
        <f t="shared" si="2"/>
        <v>1</v>
      </c>
      <c r="L423" s="54">
        <f t="shared" si="3"/>
        <v>0</v>
      </c>
    </row>
    <row r="424" spans="1:12" ht="13.5" customHeight="1">
      <c r="A424" s="64">
        <v>267116</v>
      </c>
      <c r="B424" s="57">
        <v>39129</v>
      </c>
      <c r="C424" s="60">
        <v>615000</v>
      </c>
      <c r="D424" s="58">
        <f>VLOOKUP(C424,Comptes!$A$2:$B$44,2,FALSE)</f>
        <v>0</v>
      </c>
      <c r="E424" s="60">
        <v>530000</v>
      </c>
      <c r="F424" s="58">
        <f>VLOOKUP(E424,Comptes!$A$2:$B$44,2,FALSE)</f>
        <v>0</v>
      </c>
      <c r="G424" s="59"/>
      <c r="H424" s="63"/>
      <c r="I424" s="61">
        <v>336.19</v>
      </c>
      <c r="J424" s="35" t="s">
        <v>264</v>
      </c>
      <c r="K424" s="54">
        <f t="shared" si="2"/>
        <v>1</v>
      </c>
      <c r="L424" s="54">
        <f t="shared" si="3"/>
        <v>0</v>
      </c>
    </row>
    <row r="425" spans="1:12" ht="13.5" customHeight="1">
      <c r="A425" s="64">
        <v>267117</v>
      </c>
      <c r="B425" s="57">
        <v>39130</v>
      </c>
      <c r="C425" s="60">
        <v>625000</v>
      </c>
      <c r="D425" s="58">
        <f>VLOOKUP(C425,Comptes!$A$2:$B$44,2,FALSE)</f>
        <v>0</v>
      </c>
      <c r="E425" s="60">
        <v>530000</v>
      </c>
      <c r="F425" s="58">
        <f>VLOOKUP(E425,Comptes!$A$2:$B$44,2,FALSE)</f>
        <v>0</v>
      </c>
      <c r="G425" s="59"/>
      <c r="H425" s="63"/>
      <c r="I425" s="61">
        <v>54.9</v>
      </c>
      <c r="J425" s="35"/>
      <c r="K425" s="54">
        <f t="shared" si="2"/>
        <v>1</v>
      </c>
      <c r="L425" s="54">
        <f t="shared" si="3"/>
        <v>0</v>
      </c>
    </row>
    <row r="426" spans="1:12" ht="13.5" customHeight="1">
      <c r="A426" s="64">
        <v>267118</v>
      </c>
      <c r="B426" s="57">
        <v>39134</v>
      </c>
      <c r="C426" s="60">
        <v>512000</v>
      </c>
      <c r="D426" s="58">
        <f>VLOOKUP(C426,Comptes!$A$2:$B$44,2,FALSE)</f>
        <v>0</v>
      </c>
      <c r="E426" s="60">
        <v>706230</v>
      </c>
      <c r="F426" s="58">
        <f>VLOOKUP(E426,Comptes!$A$2:$B$44,2,FALSE)</f>
        <v>0</v>
      </c>
      <c r="G426" s="59" t="s">
        <v>170</v>
      </c>
      <c r="H426" s="59" t="s">
        <v>258</v>
      </c>
      <c r="I426" s="61">
        <v>609</v>
      </c>
      <c r="J426" s="35"/>
      <c r="K426" s="54">
        <f t="shared" si="2"/>
        <v>0</v>
      </c>
      <c r="L426" s="54">
        <f t="shared" si="3"/>
        <v>0</v>
      </c>
    </row>
    <row r="427" spans="1:12" ht="13.5" customHeight="1">
      <c r="A427" s="64">
        <v>267118</v>
      </c>
      <c r="B427" s="57">
        <v>39134</v>
      </c>
      <c r="C427" s="60">
        <v>512000</v>
      </c>
      <c r="D427" s="58">
        <f>VLOOKUP(C427,Comptes!$A$2:$B$44,2,FALSE)</f>
        <v>0</v>
      </c>
      <c r="E427" s="60">
        <v>706210</v>
      </c>
      <c r="F427" s="58">
        <f>VLOOKUP(E427,Comptes!$A$2:$B$44,2,FALSE)</f>
        <v>0</v>
      </c>
      <c r="G427" s="59" t="s">
        <v>170</v>
      </c>
      <c r="H427" s="59" t="s">
        <v>258</v>
      </c>
      <c r="I427" s="61">
        <v>388</v>
      </c>
      <c r="J427" s="35"/>
      <c r="K427" s="54">
        <f t="shared" si="2"/>
        <v>0</v>
      </c>
      <c r="L427" s="54">
        <f t="shared" si="3"/>
        <v>0</v>
      </c>
    </row>
    <row r="428" spans="1:12" ht="13.5" customHeight="1">
      <c r="A428" s="64">
        <v>267118</v>
      </c>
      <c r="B428" s="57">
        <v>39134</v>
      </c>
      <c r="C428" s="60">
        <v>512000</v>
      </c>
      <c r="D428" s="58">
        <f>VLOOKUP(C428,Comptes!$A$2:$B$44,2,FALSE)</f>
        <v>0</v>
      </c>
      <c r="E428" s="60">
        <v>706220</v>
      </c>
      <c r="F428" s="58">
        <f>VLOOKUP(E428,Comptes!$A$2:$B$44,2,FALSE)</f>
        <v>0</v>
      </c>
      <c r="G428" s="59" t="s">
        <v>170</v>
      </c>
      <c r="H428" s="59" t="s">
        <v>258</v>
      </c>
      <c r="I428" s="61">
        <v>453</v>
      </c>
      <c r="J428" s="35"/>
      <c r="K428" s="54">
        <f t="shared" si="2"/>
        <v>0</v>
      </c>
      <c r="L428" s="54">
        <f t="shared" si="3"/>
        <v>0</v>
      </c>
    </row>
    <row r="429" spans="1:12" ht="13.5" customHeight="1">
      <c r="A429" s="64">
        <v>267118</v>
      </c>
      <c r="B429" s="57">
        <v>39134</v>
      </c>
      <c r="C429" s="60">
        <v>511200</v>
      </c>
      <c r="D429" s="58">
        <f>VLOOKUP(C429,Comptes!$A$2:$B$44,2,FALSE)</f>
        <v>0</v>
      </c>
      <c r="E429" s="60">
        <v>512000</v>
      </c>
      <c r="F429" s="58">
        <f>VLOOKUP(E429,Comptes!$A$2:$B$44,2,FALSE)</f>
        <v>0</v>
      </c>
      <c r="G429" s="59" t="s">
        <v>170</v>
      </c>
      <c r="H429" s="59" t="s">
        <v>258</v>
      </c>
      <c r="I429" s="61">
        <v>262</v>
      </c>
      <c r="J429" s="53"/>
      <c r="K429" s="54">
        <f t="shared" si="2"/>
        <v>0</v>
      </c>
      <c r="L429" s="54">
        <f t="shared" si="3"/>
        <v>1</v>
      </c>
    </row>
    <row r="430" spans="1:12" ht="13.5" customHeight="1">
      <c r="A430" s="64">
        <v>267118</v>
      </c>
      <c r="B430" s="57">
        <v>39134</v>
      </c>
      <c r="C430" s="60">
        <v>512000</v>
      </c>
      <c r="D430" s="58">
        <f>VLOOKUP(C430,Comptes!$A$2:$B$44,2,FALSE)</f>
        <v>0</v>
      </c>
      <c r="E430" s="60">
        <v>706230</v>
      </c>
      <c r="F430" s="58">
        <f>VLOOKUP(E430,Comptes!$A$2:$B$44,2,FALSE)</f>
        <v>0</v>
      </c>
      <c r="G430" s="59" t="s">
        <v>170</v>
      </c>
      <c r="H430" s="59" t="s">
        <v>258</v>
      </c>
      <c r="I430" s="61">
        <v>588</v>
      </c>
      <c r="J430" s="35"/>
      <c r="K430" s="54">
        <f t="shared" si="2"/>
        <v>0</v>
      </c>
      <c r="L430" s="54">
        <f t="shared" si="3"/>
        <v>0</v>
      </c>
    </row>
    <row r="431" spans="1:12" ht="13.5" customHeight="1">
      <c r="A431" s="64">
        <v>267118</v>
      </c>
      <c r="B431" s="57">
        <v>39134</v>
      </c>
      <c r="C431" s="60">
        <v>512000</v>
      </c>
      <c r="D431" s="58">
        <f>VLOOKUP(C431,Comptes!$A$2:$B$44,2,FALSE)</f>
        <v>0</v>
      </c>
      <c r="E431" s="60">
        <v>706210</v>
      </c>
      <c r="F431" s="58">
        <f>VLOOKUP(E431,Comptes!$A$2:$B$44,2,FALSE)</f>
        <v>0</v>
      </c>
      <c r="G431" s="59" t="s">
        <v>170</v>
      </c>
      <c r="H431" s="59" t="s">
        <v>258</v>
      </c>
      <c r="I431" s="61">
        <v>204</v>
      </c>
      <c r="J431" s="35"/>
      <c r="K431" s="54">
        <f t="shared" si="2"/>
        <v>0</v>
      </c>
      <c r="L431" s="54">
        <f t="shared" si="3"/>
        <v>0</v>
      </c>
    </row>
    <row r="432" spans="1:12" ht="13.5" customHeight="1">
      <c r="A432" s="64">
        <v>267118</v>
      </c>
      <c r="B432" s="57">
        <v>39134</v>
      </c>
      <c r="C432" s="60">
        <v>512000</v>
      </c>
      <c r="D432" s="58">
        <f>VLOOKUP(C432,Comptes!$A$2:$B$44,2,FALSE)</f>
        <v>0</v>
      </c>
      <c r="E432" s="60">
        <v>706220</v>
      </c>
      <c r="F432" s="58">
        <f>VLOOKUP(E432,Comptes!$A$2:$B$44,2,FALSE)</f>
        <v>0</v>
      </c>
      <c r="G432" s="59" t="s">
        <v>170</v>
      </c>
      <c r="H432" s="59" t="s">
        <v>258</v>
      </c>
      <c r="I432" s="61">
        <v>168</v>
      </c>
      <c r="J432" s="35"/>
      <c r="K432" s="54">
        <f t="shared" si="2"/>
        <v>0</v>
      </c>
      <c r="L432" s="54">
        <f t="shared" si="3"/>
        <v>0</v>
      </c>
    </row>
    <row r="433" spans="1:12" ht="13.5" customHeight="1">
      <c r="A433" s="64">
        <v>267118</v>
      </c>
      <c r="B433" s="57">
        <v>39134</v>
      </c>
      <c r="C433" s="60">
        <v>512000</v>
      </c>
      <c r="D433" s="58">
        <f>VLOOKUP(C433,Comptes!$A$2:$B$44,2,FALSE)</f>
        <v>0</v>
      </c>
      <c r="E433" s="60">
        <v>756000</v>
      </c>
      <c r="F433" s="58">
        <f>VLOOKUP(E433,Comptes!$A$2:$B$44,2,FALSE)</f>
        <v>0</v>
      </c>
      <c r="G433" s="59" t="s">
        <v>170</v>
      </c>
      <c r="H433" s="59" t="s">
        <v>258</v>
      </c>
      <c r="I433" s="61">
        <v>6</v>
      </c>
      <c r="J433" s="35"/>
      <c r="K433" s="54">
        <f t="shared" si="2"/>
        <v>0</v>
      </c>
      <c r="L433" s="54">
        <f t="shared" si="3"/>
        <v>0</v>
      </c>
    </row>
    <row r="434" spans="1:12" ht="13.5" customHeight="1">
      <c r="A434" s="64">
        <v>267118</v>
      </c>
      <c r="B434" s="57">
        <v>39134</v>
      </c>
      <c r="C434" s="60">
        <v>512000</v>
      </c>
      <c r="D434" s="58">
        <f>VLOOKUP(C434,Comptes!$A$2:$B$44,2,FALSE)</f>
        <v>0</v>
      </c>
      <c r="E434" s="60">
        <v>708000</v>
      </c>
      <c r="F434" s="58">
        <f>VLOOKUP(E434,Comptes!$A$2:$B$44,2,FALSE)</f>
        <v>0</v>
      </c>
      <c r="G434" s="59" t="s">
        <v>170</v>
      </c>
      <c r="H434" s="59" t="s">
        <v>258</v>
      </c>
      <c r="I434" s="61">
        <v>9</v>
      </c>
      <c r="J434" s="35"/>
      <c r="K434" s="54">
        <f t="shared" si="2"/>
        <v>0</v>
      </c>
      <c r="L434" s="54">
        <f t="shared" si="3"/>
        <v>0</v>
      </c>
    </row>
    <row r="435" spans="1:12" ht="13.5" customHeight="1">
      <c r="A435" s="64">
        <v>267118</v>
      </c>
      <c r="B435" s="57">
        <v>39134</v>
      </c>
      <c r="C435" s="60">
        <v>512100</v>
      </c>
      <c r="D435" s="58">
        <f>VLOOKUP(C435,Comptes!$A$2:$B$44,2,FALSE)</f>
        <v>0</v>
      </c>
      <c r="E435" s="60">
        <v>512000</v>
      </c>
      <c r="F435" s="58">
        <f>VLOOKUP(E435,Comptes!$A$2:$B$44,2,FALSE)</f>
        <v>0</v>
      </c>
      <c r="G435" s="59" t="s">
        <v>171</v>
      </c>
      <c r="H435" s="59" t="s">
        <v>258</v>
      </c>
      <c r="I435" s="61">
        <v>6000</v>
      </c>
      <c r="J435" s="35"/>
      <c r="K435" s="54">
        <f t="shared" si="2"/>
        <v>0</v>
      </c>
      <c r="L435" s="54">
        <f t="shared" si="3"/>
        <v>0</v>
      </c>
    </row>
    <row r="436" spans="1:12" ht="13.5" customHeight="1">
      <c r="A436" s="64">
        <v>267118</v>
      </c>
      <c r="B436" s="57">
        <v>39134</v>
      </c>
      <c r="C436" s="60">
        <v>530000</v>
      </c>
      <c r="D436" s="58">
        <f>VLOOKUP(C436,Comptes!$A$2:$B$44,2,FALSE)</f>
        <v>0</v>
      </c>
      <c r="E436" s="60">
        <v>706230</v>
      </c>
      <c r="F436" s="58">
        <f>VLOOKUP(E436,Comptes!$A$2:$B$44,2,FALSE)</f>
        <v>0</v>
      </c>
      <c r="G436" s="59"/>
      <c r="H436" s="63"/>
      <c r="I436" s="61">
        <v>489</v>
      </c>
      <c r="J436" s="35"/>
      <c r="K436" s="54">
        <f t="shared" si="2"/>
        <v>1</v>
      </c>
      <c r="L436" s="54">
        <f t="shared" si="3"/>
        <v>0</v>
      </c>
    </row>
    <row r="437" spans="1:12" ht="13.5" customHeight="1">
      <c r="A437" s="64">
        <v>267118</v>
      </c>
      <c r="B437" s="57">
        <v>39134</v>
      </c>
      <c r="C437" s="60">
        <v>530000</v>
      </c>
      <c r="D437" s="58">
        <f>VLOOKUP(C437,Comptes!$A$2:$B$44,2,FALSE)</f>
        <v>0</v>
      </c>
      <c r="E437" s="60">
        <v>706210</v>
      </c>
      <c r="F437" s="58">
        <f>VLOOKUP(E437,Comptes!$A$2:$B$44,2,FALSE)</f>
        <v>0</v>
      </c>
      <c r="G437" s="59"/>
      <c r="H437" s="63"/>
      <c r="I437" s="61">
        <v>473</v>
      </c>
      <c r="J437" s="35"/>
      <c r="K437" s="54">
        <f t="shared" si="2"/>
        <v>1</v>
      </c>
      <c r="L437" s="54">
        <f t="shared" si="3"/>
        <v>0</v>
      </c>
    </row>
    <row r="438" spans="1:12" ht="13.5" customHeight="1">
      <c r="A438" s="64">
        <v>267118</v>
      </c>
      <c r="B438" s="57">
        <v>39134</v>
      </c>
      <c r="C438" s="60">
        <v>530000</v>
      </c>
      <c r="D438" s="58">
        <f>VLOOKUP(C438,Comptes!$A$2:$B$44,2,FALSE)</f>
        <v>0</v>
      </c>
      <c r="E438" s="60">
        <v>706220</v>
      </c>
      <c r="F438" s="58">
        <f>VLOOKUP(E438,Comptes!$A$2:$B$44,2,FALSE)</f>
        <v>0</v>
      </c>
      <c r="G438" s="59"/>
      <c r="H438" s="63"/>
      <c r="I438" s="61">
        <v>420</v>
      </c>
      <c r="J438" s="35"/>
      <c r="K438" s="54">
        <f t="shared" si="2"/>
        <v>1</v>
      </c>
      <c r="L438" s="54">
        <f t="shared" si="3"/>
        <v>0</v>
      </c>
    </row>
    <row r="439" spans="1:12" ht="13.5" customHeight="1">
      <c r="A439" s="64">
        <v>267118</v>
      </c>
      <c r="B439" s="57">
        <v>39134</v>
      </c>
      <c r="C439" s="60">
        <v>530000</v>
      </c>
      <c r="D439" s="58">
        <f>VLOOKUP(C439,Comptes!$A$2:$B$44,2,FALSE)</f>
        <v>0</v>
      </c>
      <c r="E439" s="60">
        <v>756000</v>
      </c>
      <c r="F439" s="58">
        <f>VLOOKUP(E439,Comptes!$A$2:$B$44,2,FALSE)</f>
        <v>0</v>
      </c>
      <c r="G439" s="59"/>
      <c r="H439" s="63"/>
      <c r="I439" s="61">
        <v>25</v>
      </c>
      <c r="J439" s="35"/>
      <c r="K439" s="54">
        <f t="shared" si="2"/>
        <v>1</v>
      </c>
      <c r="L439" s="54">
        <f t="shared" si="3"/>
        <v>0</v>
      </c>
    </row>
    <row r="440" spans="1:12" ht="13.5" customHeight="1">
      <c r="A440" s="64">
        <v>267118</v>
      </c>
      <c r="B440" s="57">
        <v>39134</v>
      </c>
      <c r="C440" s="60">
        <v>530000</v>
      </c>
      <c r="D440" s="58">
        <f>VLOOKUP(C440,Comptes!$A$2:$B$44,2,FALSE)</f>
        <v>0</v>
      </c>
      <c r="E440" s="60">
        <v>754000</v>
      </c>
      <c r="F440" s="58">
        <f>VLOOKUP(E440,Comptes!$A$2:$B$44,2,FALSE)</f>
        <v>0</v>
      </c>
      <c r="G440" s="59"/>
      <c r="H440" s="63"/>
      <c r="I440" s="61">
        <v>9</v>
      </c>
      <c r="J440" s="35"/>
      <c r="K440" s="54">
        <f t="shared" si="2"/>
        <v>1</v>
      </c>
      <c r="L440" s="54">
        <f t="shared" si="3"/>
        <v>0</v>
      </c>
    </row>
    <row r="441" spans="1:12" ht="13.5" customHeight="1">
      <c r="A441" s="64">
        <v>267118</v>
      </c>
      <c r="B441" s="57">
        <v>39134</v>
      </c>
      <c r="C441" s="60">
        <v>530000</v>
      </c>
      <c r="D441" s="58">
        <f>VLOOKUP(C441,Comptes!$A$2:$B$44,2,FALSE)</f>
        <v>0</v>
      </c>
      <c r="E441" s="60">
        <v>758000</v>
      </c>
      <c r="F441" s="58">
        <f>VLOOKUP(E441,Comptes!$A$2:$B$44,2,FALSE)</f>
        <v>0</v>
      </c>
      <c r="G441" s="59"/>
      <c r="H441" s="63"/>
      <c r="I441" s="61">
        <v>19.06</v>
      </c>
      <c r="J441" s="35"/>
      <c r="K441" s="54">
        <f t="shared" si="2"/>
        <v>1</v>
      </c>
      <c r="L441" s="54">
        <f t="shared" si="3"/>
        <v>0</v>
      </c>
    </row>
    <row r="442" spans="1:12" ht="13.5" customHeight="1">
      <c r="A442" s="64">
        <v>267118</v>
      </c>
      <c r="B442" s="57">
        <v>39134</v>
      </c>
      <c r="C442" s="60">
        <v>530000</v>
      </c>
      <c r="D442" s="58">
        <f>VLOOKUP(C442,Comptes!$A$2:$B$44,2,FALSE)</f>
        <v>0</v>
      </c>
      <c r="E442" s="60">
        <v>706230</v>
      </c>
      <c r="F442" s="58">
        <f>VLOOKUP(E442,Comptes!$A$2:$B$44,2,FALSE)</f>
        <v>0</v>
      </c>
      <c r="G442" s="59"/>
      <c r="H442" s="63"/>
      <c r="I442" s="61">
        <v>39</v>
      </c>
      <c r="J442" s="35"/>
      <c r="K442" s="54">
        <f t="shared" si="2"/>
        <v>1</v>
      </c>
      <c r="L442" s="54">
        <f t="shared" si="3"/>
        <v>0</v>
      </c>
    </row>
    <row r="443" spans="1:12" ht="13.5" customHeight="1">
      <c r="A443" s="64">
        <v>267118</v>
      </c>
      <c r="B443" s="57">
        <v>39134</v>
      </c>
      <c r="C443" s="60">
        <v>530000</v>
      </c>
      <c r="D443" s="58">
        <f>VLOOKUP(C443,Comptes!$A$2:$B$44,2,FALSE)</f>
        <v>0</v>
      </c>
      <c r="E443" s="60">
        <v>756000</v>
      </c>
      <c r="F443" s="58">
        <f>VLOOKUP(E443,Comptes!$A$2:$B$44,2,FALSE)</f>
        <v>0</v>
      </c>
      <c r="G443" s="59"/>
      <c r="H443" s="63"/>
      <c r="I443" s="61">
        <v>32</v>
      </c>
      <c r="J443" s="35"/>
      <c r="K443" s="54">
        <f t="shared" si="2"/>
        <v>1</v>
      </c>
      <c r="L443" s="54">
        <f t="shared" si="3"/>
        <v>0</v>
      </c>
    </row>
    <row r="444" spans="1:12" ht="13.5" customHeight="1">
      <c r="A444" s="64">
        <v>267118</v>
      </c>
      <c r="B444" s="57">
        <v>39134</v>
      </c>
      <c r="C444" s="60">
        <v>530000</v>
      </c>
      <c r="D444" s="58">
        <f>VLOOKUP(C444,Comptes!$A$2:$B$44,2,FALSE)</f>
        <v>0</v>
      </c>
      <c r="E444" s="60">
        <v>708000</v>
      </c>
      <c r="F444" s="58">
        <f>VLOOKUP(E444,Comptes!$A$2:$B$44,2,FALSE)</f>
        <v>0</v>
      </c>
      <c r="G444" s="59"/>
      <c r="H444" s="63"/>
      <c r="I444" s="61">
        <v>9</v>
      </c>
      <c r="J444" s="35"/>
      <c r="K444" s="54">
        <f t="shared" si="2"/>
        <v>1</v>
      </c>
      <c r="L444" s="54">
        <f t="shared" si="3"/>
        <v>0</v>
      </c>
    </row>
    <row r="445" spans="1:12" ht="13.5" customHeight="1">
      <c r="A445" s="64">
        <v>267118</v>
      </c>
      <c r="B445" s="57">
        <v>39134</v>
      </c>
      <c r="C445" s="60">
        <v>622600</v>
      </c>
      <c r="D445" s="58">
        <f>VLOOKUP(C445,Comptes!$A$2:$B$44,2,FALSE)</f>
        <v>0</v>
      </c>
      <c r="E445" s="60">
        <v>512000</v>
      </c>
      <c r="F445" s="58">
        <f>VLOOKUP(E445,Comptes!$A$2:$B$44,2,FALSE)</f>
        <v>0</v>
      </c>
      <c r="G445" s="59" t="s">
        <v>265</v>
      </c>
      <c r="H445" s="59" t="s">
        <v>263</v>
      </c>
      <c r="I445" s="61">
        <v>476</v>
      </c>
      <c r="J445" s="35" t="s">
        <v>228</v>
      </c>
      <c r="K445" s="54">
        <f t="shared" si="2"/>
        <v>0</v>
      </c>
      <c r="L445" s="54">
        <f t="shared" si="3"/>
        <v>0</v>
      </c>
    </row>
    <row r="446" spans="1:12" ht="13.5" customHeight="1">
      <c r="A446" s="64">
        <v>267119</v>
      </c>
      <c r="B446" s="57">
        <v>39118</v>
      </c>
      <c r="C446" s="60">
        <v>512000</v>
      </c>
      <c r="D446" s="58">
        <f>VLOOKUP(C446,Comptes!$A$2:$B$44,2,FALSE)</f>
        <v>0</v>
      </c>
      <c r="E446" s="59">
        <v>754000</v>
      </c>
      <c r="F446" s="58">
        <f>VLOOKUP(E446,Comptes!$A$2:$B$44,2,FALSE)</f>
        <v>0</v>
      </c>
      <c r="G446" s="59" t="s">
        <v>171</v>
      </c>
      <c r="H446" s="59" t="s">
        <v>236</v>
      </c>
      <c r="I446" s="61">
        <v>150</v>
      </c>
      <c r="J446" s="35"/>
      <c r="K446" s="54">
        <f t="shared" si="2"/>
        <v>0</v>
      </c>
      <c r="L446" s="54">
        <f t="shared" si="3"/>
        <v>0</v>
      </c>
    </row>
    <row r="447" spans="1:12" ht="13.5" customHeight="1">
      <c r="A447" s="64">
        <v>267119</v>
      </c>
      <c r="B447" s="57">
        <v>39122</v>
      </c>
      <c r="C447" s="60">
        <v>512000</v>
      </c>
      <c r="D447" s="58">
        <f>VLOOKUP(C447,Comptes!$A$2:$B$44,2,FALSE)</f>
        <v>0</v>
      </c>
      <c r="E447" s="59">
        <v>754000</v>
      </c>
      <c r="F447" s="58">
        <f>VLOOKUP(E447,Comptes!$A$2:$B$44,2,FALSE)</f>
        <v>0</v>
      </c>
      <c r="G447" s="59" t="s">
        <v>171</v>
      </c>
      <c r="H447" s="59" t="s">
        <v>236</v>
      </c>
      <c r="I447" s="61">
        <v>15</v>
      </c>
      <c r="J447" s="35"/>
      <c r="K447" s="54">
        <f t="shared" si="2"/>
        <v>0</v>
      </c>
      <c r="L447" s="54">
        <f t="shared" si="3"/>
        <v>0</v>
      </c>
    </row>
    <row r="448" spans="1:12" ht="13.5" customHeight="1">
      <c r="A448" s="64">
        <v>267119</v>
      </c>
      <c r="B448" s="57">
        <v>39128</v>
      </c>
      <c r="C448" s="60">
        <v>512000</v>
      </c>
      <c r="D448" s="58">
        <f>VLOOKUP(C448,Comptes!$A$2:$B$44,2,FALSE)</f>
        <v>0</v>
      </c>
      <c r="E448" s="59">
        <v>754000</v>
      </c>
      <c r="F448" s="58">
        <f>VLOOKUP(E448,Comptes!$A$2:$B$44,2,FALSE)</f>
        <v>0</v>
      </c>
      <c r="G448" s="59" t="s">
        <v>171</v>
      </c>
      <c r="H448" s="59" t="s">
        <v>236</v>
      </c>
      <c r="I448" s="61">
        <v>30</v>
      </c>
      <c r="J448" s="35"/>
      <c r="K448" s="54">
        <f t="shared" si="2"/>
        <v>0</v>
      </c>
      <c r="L448" s="54">
        <f t="shared" si="3"/>
        <v>0</v>
      </c>
    </row>
    <row r="449" spans="1:12" ht="13.5" customHeight="1">
      <c r="A449" s="64">
        <v>267120</v>
      </c>
      <c r="B449" s="57">
        <v>39134</v>
      </c>
      <c r="C449" s="60">
        <v>210000</v>
      </c>
      <c r="D449" s="58">
        <f>VLOOKUP(C449,Comptes!$A$2:$B$44,2,FALSE)</f>
        <v>0</v>
      </c>
      <c r="E449" s="60">
        <v>530000</v>
      </c>
      <c r="F449" s="58">
        <f>VLOOKUP(E449,Comptes!$A$2:$B$44,2,FALSE)</f>
        <v>0</v>
      </c>
      <c r="G449" s="59"/>
      <c r="H449" s="63"/>
      <c r="I449" s="61">
        <v>766</v>
      </c>
      <c r="J449" s="35" t="s">
        <v>162</v>
      </c>
      <c r="K449" s="54">
        <f t="shared" si="2"/>
        <v>1</v>
      </c>
      <c r="L449" s="54">
        <f t="shared" si="3"/>
        <v>0</v>
      </c>
    </row>
    <row r="450" spans="1:12" ht="13.5" customHeight="1">
      <c r="A450" s="64">
        <v>267121</v>
      </c>
      <c r="B450" s="57">
        <v>39136</v>
      </c>
      <c r="C450" s="60">
        <v>615000</v>
      </c>
      <c r="D450" s="58">
        <f>VLOOKUP(C450,Comptes!$A$2:$B$44,2,FALSE)</f>
        <v>0</v>
      </c>
      <c r="E450" s="60">
        <v>530000</v>
      </c>
      <c r="F450" s="58">
        <f>VLOOKUP(E450,Comptes!$A$2:$B$44,2,FALSE)</f>
        <v>0</v>
      </c>
      <c r="G450" s="59"/>
      <c r="H450" s="63"/>
      <c r="I450" s="61">
        <v>23</v>
      </c>
      <c r="J450" s="35"/>
      <c r="K450" s="54">
        <f t="shared" si="2"/>
        <v>1</v>
      </c>
      <c r="L450" s="54">
        <f t="shared" si="3"/>
        <v>0</v>
      </c>
    </row>
    <row r="451" spans="1:12" ht="13.5" customHeight="1">
      <c r="A451" s="64">
        <v>267121</v>
      </c>
      <c r="B451" s="57">
        <v>39136</v>
      </c>
      <c r="C451" s="60">
        <v>606700</v>
      </c>
      <c r="D451" s="58">
        <f>VLOOKUP(C451,Comptes!$A$2:$B$44,2,FALSE)</f>
        <v>0</v>
      </c>
      <c r="E451" s="60">
        <v>530000</v>
      </c>
      <c r="F451" s="58">
        <f>VLOOKUP(E451,Comptes!$A$2:$B$44,2,FALSE)</f>
        <v>0</v>
      </c>
      <c r="G451" s="59"/>
      <c r="H451" s="63"/>
      <c r="I451" s="61">
        <f>20.7+10.55+88.86+30.49+12.9</f>
        <v>163.5</v>
      </c>
      <c r="J451" s="35"/>
      <c r="K451" s="54">
        <f t="shared" si="2"/>
        <v>1</v>
      </c>
      <c r="L451" s="54">
        <f t="shared" si="3"/>
        <v>0</v>
      </c>
    </row>
    <row r="452" spans="1:12" ht="13.5" customHeight="1">
      <c r="A452" s="64">
        <v>267122</v>
      </c>
      <c r="B452" s="57">
        <v>39142</v>
      </c>
      <c r="C452" s="60">
        <v>511200</v>
      </c>
      <c r="D452" s="58">
        <f>VLOOKUP(C452,Comptes!$A$2:$B$44,2,FALSE)</f>
        <v>0</v>
      </c>
      <c r="E452" s="60">
        <v>512000</v>
      </c>
      <c r="F452" s="58">
        <f>VLOOKUP(E452,Comptes!$A$2:$B$44,2,FALSE)</f>
        <v>0</v>
      </c>
      <c r="G452" s="59" t="s">
        <v>266</v>
      </c>
      <c r="H452" s="59" t="s">
        <v>263</v>
      </c>
      <c r="I452" s="61">
        <v>10000</v>
      </c>
      <c r="J452" s="55"/>
      <c r="K452" s="54">
        <f t="shared" si="2"/>
        <v>0</v>
      </c>
      <c r="L452" s="54">
        <f t="shared" si="3"/>
        <v>1</v>
      </c>
    </row>
    <row r="453" spans="1:12" ht="13.5" customHeight="1">
      <c r="A453" s="64">
        <v>267123</v>
      </c>
      <c r="B453" s="57">
        <v>39142</v>
      </c>
      <c r="C453" s="60">
        <v>606150</v>
      </c>
      <c r="D453" s="58">
        <f>VLOOKUP(C453,Comptes!$A$2:$B$44,2,FALSE)</f>
        <v>0</v>
      </c>
      <c r="E453" s="60">
        <v>512000</v>
      </c>
      <c r="F453" s="58">
        <f>VLOOKUP(E453,Comptes!$A$2:$B$44,2,FALSE)</f>
        <v>0</v>
      </c>
      <c r="G453" s="59" t="s">
        <v>267</v>
      </c>
      <c r="H453" s="59" t="s">
        <v>263</v>
      </c>
      <c r="I453" s="61">
        <v>2033.3</v>
      </c>
      <c r="J453" s="35" t="s">
        <v>268</v>
      </c>
      <c r="K453" s="54">
        <f t="shared" si="2"/>
        <v>0</v>
      </c>
      <c r="L453" s="54">
        <f t="shared" si="3"/>
        <v>0</v>
      </c>
    </row>
    <row r="454" spans="1:12" ht="13.5" customHeight="1">
      <c r="A454" s="64">
        <v>267124</v>
      </c>
      <c r="B454" s="57">
        <v>39142</v>
      </c>
      <c r="C454" s="60">
        <v>512000</v>
      </c>
      <c r="D454" s="58">
        <f>VLOOKUP(C454,Comptes!$A$2:$B$44,2,FALSE)</f>
        <v>0</v>
      </c>
      <c r="E454" s="60">
        <v>706230</v>
      </c>
      <c r="F454" s="58">
        <f>VLOOKUP(E454,Comptes!$A$2:$B$44,2,FALSE)</f>
        <v>0</v>
      </c>
      <c r="G454" s="59" t="s">
        <v>170</v>
      </c>
      <c r="H454" s="59" t="s">
        <v>263</v>
      </c>
      <c r="I454" s="61">
        <v>1375</v>
      </c>
      <c r="J454" s="35"/>
      <c r="K454" s="54">
        <f t="shared" si="2"/>
        <v>0</v>
      </c>
      <c r="L454" s="54">
        <f t="shared" si="3"/>
        <v>0</v>
      </c>
    </row>
    <row r="455" spans="1:12" ht="13.5" customHeight="1">
      <c r="A455" s="64">
        <v>267124</v>
      </c>
      <c r="B455" s="57">
        <v>39142</v>
      </c>
      <c r="C455" s="60">
        <v>512000</v>
      </c>
      <c r="D455" s="58">
        <f>VLOOKUP(C455,Comptes!$A$2:$B$44,2,FALSE)</f>
        <v>0</v>
      </c>
      <c r="E455" s="60">
        <v>706210</v>
      </c>
      <c r="F455" s="58">
        <f>VLOOKUP(E455,Comptes!$A$2:$B$44,2,FALSE)</f>
        <v>0</v>
      </c>
      <c r="G455" s="59" t="s">
        <v>170</v>
      </c>
      <c r="H455" s="59" t="s">
        <v>263</v>
      </c>
      <c r="I455" s="61">
        <v>397</v>
      </c>
      <c r="J455" s="35"/>
      <c r="K455" s="54">
        <f t="shared" si="2"/>
        <v>0</v>
      </c>
      <c r="L455" s="54">
        <f t="shared" si="3"/>
        <v>0</v>
      </c>
    </row>
    <row r="456" spans="1:12" ht="13.5" customHeight="1">
      <c r="A456" s="64">
        <v>267124</v>
      </c>
      <c r="B456" s="57">
        <v>39142</v>
      </c>
      <c r="C456" s="60">
        <v>512000</v>
      </c>
      <c r="D456" s="58">
        <f>VLOOKUP(C456,Comptes!$A$2:$B$44,2,FALSE)</f>
        <v>0</v>
      </c>
      <c r="E456" s="60">
        <v>706220</v>
      </c>
      <c r="F456" s="58">
        <f>VLOOKUP(E456,Comptes!$A$2:$B$44,2,FALSE)</f>
        <v>0</v>
      </c>
      <c r="G456" s="59" t="s">
        <v>170</v>
      </c>
      <c r="H456" s="59" t="s">
        <v>263</v>
      </c>
      <c r="I456" s="61">
        <v>356</v>
      </c>
      <c r="J456" s="35"/>
      <c r="K456" s="54">
        <f t="shared" si="2"/>
        <v>0</v>
      </c>
      <c r="L456" s="54">
        <f t="shared" si="3"/>
        <v>0</v>
      </c>
    </row>
    <row r="457" spans="1:12" ht="13.5" customHeight="1">
      <c r="A457" s="64">
        <v>267124</v>
      </c>
      <c r="B457" s="57">
        <v>39142</v>
      </c>
      <c r="C457" s="60">
        <v>512000</v>
      </c>
      <c r="D457" s="58">
        <f>VLOOKUP(C457,Comptes!$A$2:$B$44,2,FALSE)</f>
        <v>0</v>
      </c>
      <c r="E457" s="60">
        <v>706100</v>
      </c>
      <c r="F457" s="58">
        <f>VLOOKUP(E457,Comptes!$A$2:$B$44,2,FALSE)</f>
        <v>0</v>
      </c>
      <c r="G457" s="59" t="s">
        <v>170</v>
      </c>
      <c r="H457" s="59" t="s">
        <v>263</v>
      </c>
      <c r="I457" s="61">
        <v>6</v>
      </c>
      <c r="J457" s="35"/>
      <c r="K457" s="54">
        <f t="shared" si="2"/>
        <v>0</v>
      </c>
      <c r="L457" s="54">
        <f t="shared" si="3"/>
        <v>0</v>
      </c>
    </row>
    <row r="458" spans="1:12" ht="13.5" customHeight="1">
      <c r="A458" s="64">
        <v>267124</v>
      </c>
      <c r="B458" s="57">
        <v>39142</v>
      </c>
      <c r="C458" s="60">
        <v>512000</v>
      </c>
      <c r="D458" s="58">
        <f>VLOOKUP(C458,Comptes!$A$2:$B$44,2,FALSE)</f>
        <v>0</v>
      </c>
      <c r="E458" s="60">
        <v>706230</v>
      </c>
      <c r="F458" s="58">
        <f>VLOOKUP(E458,Comptes!$A$2:$B$44,2,FALSE)</f>
        <v>0</v>
      </c>
      <c r="G458" s="59" t="s">
        <v>170</v>
      </c>
      <c r="H458" s="59" t="s">
        <v>263</v>
      </c>
      <c r="I458" s="61">
        <v>25</v>
      </c>
      <c r="J458" s="35"/>
      <c r="K458" s="54">
        <f t="shared" si="2"/>
        <v>0</v>
      </c>
      <c r="L458" s="54">
        <f t="shared" si="3"/>
        <v>0</v>
      </c>
    </row>
    <row r="459" spans="1:12" ht="13.5" customHeight="1">
      <c r="A459" s="64">
        <v>267124</v>
      </c>
      <c r="B459" s="57">
        <v>39142</v>
      </c>
      <c r="C459" s="60">
        <v>512000</v>
      </c>
      <c r="D459" s="58">
        <f>VLOOKUP(C459,Comptes!$A$2:$B$44,2,FALSE)</f>
        <v>0</v>
      </c>
      <c r="E459" s="60">
        <v>754000</v>
      </c>
      <c r="F459" s="58">
        <f>VLOOKUP(E459,Comptes!$A$2:$B$44,2,FALSE)</f>
        <v>0</v>
      </c>
      <c r="G459" s="59" t="s">
        <v>170</v>
      </c>
      <c r="H459" s="59" t="s">
        <v>263</v>
      </c>
      <c r="I459" s="61">
        <v>100</v>
      </c>
      <c r="J459" s="35"/>
      <c r="K459" s="54">
        <f t="shared" si="2"/>
        <v>0</v>
      </c>
      <c r="L459" s="54">
        <f t="shared" si="3"/>
        <v>0</v>
      </c>
    </row>
    <row r="460" spans="1:12" ht="13.5" customHeight="1">
      <c r="A460" s="64">
        <v>267124</v>
      </c>
      <c r="B460" s="57">
        <v>39142</v>
      </c>
      <c r="C460" s="60">
        <v>512000</v>
      </c>
      <c r="D460" s="58">
        <f>VLOOKUP(C460,Comptes!$A$2:$B$44,2,FALSE)</f>
        <v>0</v>
      </c>
      <c r="E460" s="60">
        <v>756000</v>
      </c>
      <c r="F460" s="58">
        <f>VLOOKUP(E460,Comptes!$A$2:$B$44,2,FALSE)</f>
        <v>0</v>
      </c>
      <c r="G460" s="59" t="s">
        <v>170</v>
      </c>
      <c r="H460" s="59" t="s">
        <v>263</v>
      </c>
      <c r="I460" s="61">
        <v>32</v>
      </c>
      <c r="J460" s="35"/>
      <c r="K460" s="54">
        <f t="shared" si="2"/>
        <v>0</v>
      </c>
      <c r="L460" s="54">
        <f t="shared" si="3"/>
        <v>0</v>
      </c>
    </row>
    <row r="461" spans="1:12" ht="13.5" customHeight="1">
      <c r="A461" s="64">
        <v>267124</v>
      </c>
      <c r="B461" s="57">
        <v>39142</v>
      </c>
      <c r="C461" s="60">
        <v>512000</v>
      </c>
      <c r="D461" s="58">
        <f>VLOOKUP(C461,Comptes!$A$2:$B$44,2,FALSE)</f>
        <v>0</v>
      </c>
      <c r="E461" s="60">
        <v>708000</v>
      </c>
      <c r="F461" s="58">
        <f>VLOOKUP(E461,Comptes!$A$2:$B$44,2,FALSE)</f>
        <v>0</v>
      </c>
      <c r="G461" s="59" t="s">
        <v>170</v>
      </c>
      <c r="H461" s="59" t="s">
        <v>263</v>
      </c>
      <c r="I461" s="61">
        <v>9</v>
      </c>
      <c r="J461" s="35"/>
      <c r="K461" s="54">
        <f t="shared" si="2"/>
        <v>0</v>
      </c>
      <c r="L461" s="54">
        <f t="shared" si="3"/>
        <v>0</v>
      </c>
    </row>
    <row r="462" spans="1:12" ht="13.5" customHeight="1">
      <c r="A462" s="64">
        <v>267124</v>
      </c>
      <c r="B462" s="57">
        <v>39142</v>
      </c>
      <c r="C462" s="60">
        <v>512000</v>
      </c>
      <c r="D462" s="58">
        <f>VLOOKUP(C462,Comptes!$A$2:$B$44,2,FALSE)</f>
        <v>0</v>
      </c>
      <c r="E462" s="59">
        <v>511200</v>
      </c>
      <c r="F462" s="58">
        <f>VLOOKUP(E462,Comptes!$A$2:$B$44,2,FALSE)</f>
        <v>0</v>
      </c>
      <c r="G462" s="59" t="s">
        <v>170</v>
      </c>
      <c r="H462" s="59" t="s">
        <v>263</v>
      </c>
      <c r="I462" s="61">
        <v>77</v>
      </c>
      <c r="J462" s="53"/>
      <c r="K462" s="54">
        <f t="shared" si="2"/>
        <v>0</v>
      </c>
      <c r="L462" s="54">
        <f t="shared" si="3"/>
        <v>1</v>
      </c>
    </row>
    <row r="463" spans="1:12" ht="13.5" customHeight="1">
      <c r="A463" s="64">
        <v>267124</v>
      </c>
      <c r="B463" s="57">
        <v>39142</v>
      </c>
      <c r="C463" s="60">
        <v>512000</v>
      </c>
      <c r="D463" s="58">
        <f>VLOOKUP(C463,Comptes!$A$2:$B$44,2,FALSE)</f>
        <v>0</v>
      </c>
      <c r="E463" s="60">
        <v>758000</v>
      </c>
      <c r="F463" s="58">
        <f>VLOOKUP(E463,Comptes!$A$2:$B$44,2,FALSE)</f>
        <v>0</v>
      </c>
      <c r="G463" s="59" t="s">
        <v>170</v>
      </c>
      <c r="H463" s="59" t="s">
        <v>263</v>
      </c>
      <c r="I463" s="61">
        <v>2</v>
      </c>
      <c r="J463" s="35"/>
      <c r="K463" s="54">
        <f t="shared" si="2"/>
        <v>0</v>
      </c>
      <c r="L463" s="54">
        <f t="shared" si="3"/>
        <v>0</v>
      </c>
    </row>
    <row r="464" spans="1:12" ht="13.5" customHeight="1">
      <c r="A464" s="64">
        <v>267124</v>
      </c>
      <c r="B464" s="57">
        <v>39142</v>
      </c>
      <c r="C464" s="60">
        <v>530000</v>
      </c>
      <c r="D464" s="58">
        <f>VLOOKUP(C464,Comptes!$A$2:$B$44,2,FALSE)</f>
        <v>0</v>
      </c>
      <c r="E464" s="60">
        <v>706230</v>
      </c>
      <c r="F464" s="58">
        <f>VLOOKUP(E464,Comptes!$A$2:$B$44,2,FALSE)</f>
        <v>0</v>
      </c>
      <c r="G464" s="59"/>
      <c r="H464" s="63"/>
      <c r="I464" s="61">
        <v>5</v>
      </c>
      <c r="J464" s="35"/>
      <c r="K464" s="54">
        <f t="shared" si="2"/>
        <v>1</v>
      </c>
      <c r="L464" s="54">
        <f t="shared" si="3"/>
        <v>0</v>
      </c>
    </row>
    <row r="465" spans="1:12" ht="13.5" customHeight="1">
      <c r="A465" s="64">
        <v>267124</v>
      </c>
      <c r="B465" s="57">
        <v>39142</v>
      </c>
      <c r="C465" s="60">
        <v>530000</v>
      </c>
      <c r="D465" s="58">
        <f>VLOOKUP(C465,Comptes!$A$2:$B$44,2,FALSE)</f>
        <v>0</v>
      </c>
      <c r="E465" s="60">
        <v>706210</v>
      </c>
      <c r="F465" s="58">
        <f>VLOOKUP(E465,Comptes!$A$2:$B$44,2,FALSE)</f>
        <v>0</v>
      </c>
      <c r="G465" s="59"/>
      <c r="H465" s="63"/>
      <c r="I465" s="61">
        <v>1</v>
      </c>
      <c r="J465" s="35"/>
      <c r="K465" s="54">
        <f t="shared" si="2"/>
        <v>1</v>
      </c>
      <c r="L465" s="54">
        <f t="shared" si="3"/>
        <v>0</v>
      </c>
    </row>
    <row r="466" spans="1:12" ht="13.5" customHeight="1">
      <c r="A466" s="64">
        <v>267124</v>
      </c>
      <c r="B466" s="57">
        <v>39142</v>
      </c>
      <c r="C466" s="60">
        <v>530000</v>
      </c>
      <c r="D466" s="58">
        <f>VLOOKUP(C466,Comptes!$A$2:$B$44,2,FALSE)</f>
        <v>0</v>
      </c>
      <c r="E466" s="60">
        <v>706220</v>
      </c>
      <c r="F466" s="58">
        <f>VLOOKUP(E466,Comptes!$A$2:$B$44,2,FALSE)</f>
        <v>0</v>
      </c>
      <c r="G466" s="59"/>
      <c r="H466" s="63"/>
      <c r="I466" s="61">
        <v>1</v>
      </c>
      <c r="J466" s="35"/>
      <c r="K466" s="54">
        <f t="shared" si="2"/>
        <v>1</v>
      </c>
      <c r="L466" s="54">
        <f t="shared" si="3"/>
        <v>0</v>
      </c>
    </row>
    <row r="467" spans="1:12" ht="13.5" customHeight="1">
      <c r="A467" s="64">
        <v>267124</v>
      </c>
      <c r="B467" s="57">
        <v>39142</v>
      </c>
      <c r="C467" s="60">
        <v>512000</v>
      </c>
      <c r="D467" s="58">
        <f>VLOOKUP(C467,Comptes!$A$2:$B$44,2,FALSE)</f>
        <v>0</v>
      </c>
      <c r="E467" s="60">
        <v>512100</v>
      </c>
      <c r="F467" s="58">
        <f>VLOOKUP(E467,Comptes!$A$2:$B$44,2,FALSE)</f>
        <v>0</v>
      </c>
      <c r="G467" s="59" t="s">
        <v>171</v>
      </c>
      <c r="H467" s="59" t="s">
        <v>263</v>
      </c>
      <c r="I467" s="61">
        <v>5000</v>
      </c>
      <c r="J467" s="35"/>
      <c r="K467" s="54">
        <f t="shared" si="2"/>
        <v>0</v>
      </c>
      <c r="L467" s="54">
        <f t="shared" si="3"/>
        <v>0</v>
      </c>
    </row>
    <row r="468" spans="1:12" ht="13.5" customHeight="1">
      <c r="A468" s="64">
        <v>267125</v>
      </c>
      <c r="B468" s="57">
        <v>39142</v>
      </c>
      <c r="C468" s="60">
        <v>606400</v>
      </c>
      <c r="D468" s="58">
        <f>VLOOKUP(C468,Comptes!$A$2:$B$44,2,FALSE)</f>
        <v>0</v>
      </c>
      <c r="E468" s="60">
        <v>530000</v>
      </c>
      <c r="F468" s="58">
        <f>VLOOKUP(E468,Comptes!$A$2:$B$44,2,FALSE)</f>
        <v>0</v>
      </c>
      <c r="G468" s="59"/>
      <c r="H468" s="63"/>
      <c r="I468" s="61">
        <f>109+58.9</f>
        <v>167.9</v>
      </c>
      <c r="J468" s="35" t="s">
        <v>269</v>
      </c>
      <c r="K468" s="54">
        <f t="shared" si="2"/>
        <v>1</v>
      </c>
      <c r="L468" s="54">
        <f t="shared" si="3"/>
        <v>0</v>
      </c>
    </row>
    <row r="469" spans="1:12" ht="13.5" customHeight="1">
      <c r="A469" s="64">
        <v>267125</v>
      </c>
      <c r="B469" s="57">
        <v>39142</v>
      </c>
      <c r="C469" s="60">
        <v>606700</v>
      </c>
      <c r="D469" s="58">
        <f>VLOOKUP(C469,Comptes!$A$2:$B$44,2,FALSE)</f>
        <v>0</v>
      </c>
      <c r="E469" s="60">
        <v>530000</v>
      </c>
      <c r="F469" s="58">
        <f>VLOOKUP(E469,Comptes!$A$2:$B$44,2,FALSE)</f>
        <v>0</v>
      </c>
      <c r="G469" s="59"/>
      <c r="H469" s="63"/>
      <c r="I469" s="61">
        <v>73.82</v>
      </c>
      <c r="J469" s="35"/>
      <c r="K469" s="54">
        <f t="shared" si="2"/>
        <v>1</v>
      </c>
      <c r="L469" s="54">
        <f t="shared" si="3"/>
        <v>0</v>
      </c>
    </row>
    <row r="470" spans="1:12" ht="13.5" customHeight="1">
      <c r="A470" s="64">
        <v>267126</v>
      </c>
      <c r="B470" s="57">
        <v>39143</v>
      </c>
      <c r="C470" s="60">
        <v>625000</v>
      </c>
      <c r="D470" s="58">
        <f>VLOOKUP(C470,Comptes!$A$2:$B$44,2,FALSE)</f>
        <v>0</v>
      </c>
      <c r="E470" s="60">
        <v>530000</v>
      </c>
      <c r="F470" s="58">
        <f>VLOOKUP(E470,Comptes!$A$2:$B$44,2,FALSE)</f>
        <v>0</v>
      </c>
      <c r="G470" s="59"/>
      <c r="H470" s="63"/>
      <c r="I470" s="61">
        <v>54.9</v>
      </c>
      <c r="J470" s="35"/>
      <c r="K470" s="54">
        <f t="shared" si="2"/>
        <v>1</v>
      </c>
      <c r="L470" s="54">
        <f t="shared" si="3"/>
        <v>0</v>
      </c>
    </row>
    <row r="471" spans="1:12" ht="13.5" customHeight="1">
      <c r="A471" s="64">
        <v>267127</v>
      </c>
      <c r="B471" s="57">
        <v>39145</v>
      </c>
      <c r="C471" s="60">
        <v>606700</v>
      </c>
      <c r="D471" s="58">
        <f>VLOOKUP(C471,Comptes!$A$2:$B$44,2,FALSE)</f>
        <v>0</v>
      </c>
      <c r="E471" s="60">
        <v>530000</v>
      </c>
      <c r="F471" s="58">
        <f>VLOOKUP(E471,Comptes!$A$2:$B$44,2,FALSE)</f>
        <v>0</v>
      </c>
      <c r="G471" s="59"/>
      <c r="H471" s="63"/>
      <c r="I471" s="61">
        <f aca="true" t="shared" si="4" ref="I471:I472">(18+243.13+15.05)/2</f>
        <v>138.09</v>
      </c>
      <c r="J471" s="35"/>
      <c r="K471" s="54">
        <f t="shared" si="2"/>
        <v>1</v>
      </c>
      <c r="L471" s="54">
        <f t="shared" si="3"/>
        <v>0</v>
      </c>
    </row>
    <row r="472" spans="1:12" ht="13.5" customHeight="1">
      <c r="A472" s="64">
        <v>267127</v>
      </c>
      <c r="B472" s="57">
        <v>39145</v>
      </c>
      <c r="C472" s="60">
        <v>606700</v>
      </c>
      <c r="D472" s="58">
        <f>VLOOKUP(C472,Comptes!$A$2:$B$44,2,FALSE)</f>
        <v>0</v>
      </c>
      <c r="E472" s="60">
        <v>530000</v>
      </c>
      <c r="F472" s="58">
        <f>VLOOKUP(E472,Comptes!$A$2:$B$44,2,FALSE)</f>
        <v>0</v>
      </c>
      <c r="G472" s="59"/>
      <c r="H472" s="63"/>
      <c r="I472" s="61">
        <f t="shared" si="4"/>
        <v>138.09</v>
      </c>
      <c r="J472" s="35"/>
      <c r="K472" s="54">
        <f t="shared" si="2"/>
        <v>1</v>
      </c>
      <c r="L472" s="54">
        <f t="shared" si="3"/>
        <v>0</v>
      </c>
    </row>
    <row r="473" spans="1:12" ht="13.5" customHeight="1">
      <c r="A473" s="64">
        <v>267127</v>
      </c>
      <c r="B473" s="57">
        <v>39145</v>
      </c>
      <c r="C473" s="60">
        <v>622600</v>
      </c>
      <c r="D473" s="58">
        <f>VLOOKUP(C473,Comptes!$A$2:$B$44,2,FALSE)</f>
        <v>0</v>
      </c>
      <c r="E473" s="60">
        <v>512000</v>
      </c>
      <c r="F473" s="58">
        <f>VLOOKUP(E473,Comptes!$A$2:$B$44,2,FALSE)</f>
        <v>0</v>
      </c>
      <c r="G473" s="59" t="s">
        <v>270</v>
      </c>
      <c r="H473" s="59" t="s">
        <v>263</v>
      </c>
      <c r="I473" s="61">
        <v>380</v>
      </c>
      <c r="J473" s="66" t="s">
        <v>207</v>
      </c>
      <c r="K473" s="54">
        <f t="shared" si="2"/>
        <v>0</v>
      </c>
      <c r="L473" s="54">
        <f t="shared" si="3"/>
        <v>0</v>
      </c>
    </row>
    <row r="474" spans="1:12" ht="13.5" customHeight="1">
      <c r="A474" s="64">
        <v>267128</v>
      </c>
      <c r="B474" s="57">
        <v>39145</v>
      </c>
      <c r="C474" s="60">
        <v>512000</v>
      </c>
      <c r="D474" s="58">
        <f>VLOOKUP(C474,Comptes!$A$2:$B$44,2,FALSE)</f>
        <v>0</v>
      </c>
      <c r="E474" s="60">
        <v>706230</v>
      </c>
      <c r="F474" s="58">
        <f>VLOOKUP(E474,Comptes!$A$2:$B$44,2,FALSE)</f>
        <v>0</v>
      </c>
      <c r="G474" s="59" t="s">
        <v>170</v>
      </c>
      <c r="H474" s="59" t="s">
        <v>263</v>
      </c>
      <c r="I474" s="61">
        <v>360</v>
      </c>
      <c r="J474" s="35"/>
      <c r="K474" s="54">
        <f t="shared" si="2"/>
        <v>0</v>
      </c>
      <c r="L474" s="54">
        <f t="shared" si="3"/>
        <v>0</v>
      </c>
    </row>
    <row r="475" spans="1:12" ht="13.5" customHeight="1">
      <c r="A475" s="64">
        <v>267128</v>
      </c>
      <c r="B475" s="57">
        <v>39145</v>
      </c>
      <c r="C475" s="60">
        <v>512000</v>
      </c>
      <c r="D475" s="58">
        <f>VLOOKUP(C475,Comptes!$A$2:$B$44,2,FALSE)</f>
        <v>0</v>
      </c>
      <c r="E475" s="60">
        <v>706210</v>
      </c>
      <c r="F475" s="58">
        <f>VLOOKUP(E475,Comptes!$A$2:$B$44,2,FALSE)</f>
        <v>0</v>
      </c>
      <c r="G475" s="59" t="s">
        <v>170</v>
      </c>
      <c r="H475" s="59" t="s">
        <v>263</v>
      </c>
      <c r="I475" s="61">
        <v>191</v>
      </c>
      <c r="J475" s="35"/>
      <c r="K475" s="54">
        <f t="shared" si="2"/>
        <v>0</v>
      </c>
      <c r="L475" s="54">
        <f t="shared" si="3"/>
        <v>0</v>
      </c>
    </row>
    <row r="476" spans="1:12" ht="13.5" customHeight="1">
      <c r="A476" s="64">
        <v>267128</v>
      </c>
      <c r="B476" s="57">
        <v>39145</v>
      </c>
      <c r="C476" s="60">
        <v>512000</v>
      </c>
      <c r="D476" s="58">
        <f>VLOOKUP(C476,Comptes!$A$2:$B$44,2,FALSE)</f>
        <v>0</v>
      </c>
      <c r="E476" s="60">
        <v>706220</v>
      </c>
      <c r="F476" s="58">
        <f>VLOOKUP(E476,Comptes!$A$2:$B$44,2,FALSE)</f>
        <v>0</v>
      </c>
      <c r="G476" s="59" t="s">
        <v>170</v>
      </c>
      <c r="H476" s="59" t="s">
        <v>263</v>
      </c>
      <c r="I476" s="61">
        <v>140</v>
      </c>
      <c r="J476" s="35"/>
      <c r="K476" s="54">
        <f t="shared" si="2"/>
        <v>0</v>
      </c>
      <c r="L476" s="54">
        <f t="shared" si="3"/>
        <v>0</v>
      </c>
    </row>
    <row r="477" spans="1:12" ht="13.5" customHeight="1">
      <c r="A477" s="64">
        <v>267128</v>
      </c>
      <c r="B477" s="57">
        <v>39145</v>
      </c>
      <c r="C477" s="60">
        <v>512000</v>
      </c>
      <c r="D477" s="58">
        <f>VLOOKUP(C477,Comptes!$A$2:$B$44,2,FALSE)</f>
        <v>0</v>
      </c>
      <c r="E477" s="60">
        <v>756000</v>
      </c>
      <c r="F477" s="58">
        <f>VLOOKUP(E477,Comptes!$A$2:$B$44,2,FALSE)</f>
        <v>0</v>
      </c>
      <c r="G477" s="59" t="s">
        <v>170</v>
      </c>
      <c r="H477" s="59" t="s">
        <v>263</v>
      </c>
      <c r="I477" s="61">
        <v>10</v>
      </c>
      <c r="J477" s="35"/>
      <c r="K477" s="54">
        <f t="shared" si="2"/>
        <v>0</v>
      </c>
      <c r="L477" s="54">
        <f t="shared" si="3"/>
        <v>0</v>
      </c>
    </row>
    <row r="478" spans="1:12" ht="13.5" customHeight="1">
      <c r="A478" s="64">
        <v>267128</v>
      </c>
      <c r="B478" s="57">
        <v>39145</v>
      </c>
      <c r="C478" s="60">
        <v>511200</v>
      </c>
      <c r="D478" s="58">
        <f>VLOOKUP(C478,Comptes!$A$2:$B$44,2,FALSE)</f>
        <v>0</v>
      </c>
      <c r="E478" s="60">
        <v>512000</v>
      </c>
      <c r="F478" s="58">
        <f>VLOOKUP(E478,Comptes!$A$2:$B$44,2,FALSE)</f>
        <v>0</v>
      </c>
      <c r="G478" s="59" t="s">
        <v>170</v>
      </c>
      <c r="H478" s="59" t="s">
        <v>263</v>
      </c>
      <c r="I478" s="61">
        <v>49</v>
      </c>
      <c r="J478" s="53"/>
      <c r="K478" s="54">
        <f t="shared" si="2"/>
        <v>0</v>
      </c>
      <c r="L478" s="54">
        <f t="shared" si="3"/>
        <v>1</v>
      </c>
    </row>
    <row r="479" spans="1:12" ht="13.5" customHeight="1">
      <c r="A479" s="64">
        <v>267128</v>
      </c>
      <c r="B479" s="57">
        <v>39145</v>
      </c>
      <c r="C479" s="60">
        <v>512000</v>
      </c>
      <c r="D479" s="58">
        <f>VLOOKUP(C479,Comptes!$A$2:$B$44,2,FALSE)</f>
        <v>0</v>
      </c>
      <c r="E479" s="60">
        <v>706210</v>
      </c>
      <c r="F479" s="58">
        <f>VLOOKUP(E479,Comptes!$A$2:$B$44,2,FALSE)</f>
        <v>0</v>
      </c>
      <c r="G479" s="59" t="s">
        <v>170</v>
      </c>
      <c r="H479" s="59" t="s">
        <v>263</v>
      </c>
      <c r="I479" s="61">
        <v>7</v>
      </c>
      <c r="J479" s="35"/>
      <c r="K479" s="54">
        <f t="shared" si="2"/>
        <v>0</v>
      </c>
      <c r="L479" s="54">
        <f t="shared" si="3"/>
        <v>0</v>
      </c>
    </row>
    <row r="480" spans="1:12" ht="13.5" customHeight="1">
      <c r="A480" s="64">
        <v>267128</v>
      </c>
      <c r="B480" s="57">
        <v>39145</v>
      </c>
      <c r="C480" s="60">
        <v>512000</v>
      </c>
      <c r="D480" s="58">
        <f>VLOOKUP(C480,Comptes!$A$2:$B$44,2,FALSE)</f>
        <v>0</v>
      </c>
      <c r="E480" s="60">
        <v>706220</v>
      </c>
      <c r="F480" s="58">
        <f>VLOOKUP(E480,Comptes!$A$2:$B$44,2,FALSE)</f>
        <v>0</v>
      </c>
      <c r="G480" s="59" t="s">
        <v>170</v>
      </c>
      <c r="H480" s="59" t="s">
        <v>263</v>
      </c>
      <c r="I480" s="61">
        <v>137</v>
      </c>
      <c r="J480" s="35"/>
      <c r="K480" s="54">
        <f t="shared" si="2"/>
        <v>0</v>
      </c>
      <c r="L480" s="54">
        <f t="shared" si="3"/>
        <v>0</v>
      </c>
    </row>
    <row r="481" spans="1:12" ht="13.5" customHeight="1">
      <c r="A481" s="64">
        <v>267128</v>
      </c>
      <c r="B481" s="57">
        <v>39145</v>
      </c>
      <c r="C481" s="60">
        <v>530000</v>
      </c>
      <c r="D481" s="58">
        <f>VLOOKUP(C481,Comptes!$A$2:$B$44,2,FALSE)</f>
        <v>0</v>
      </c>
      <c r="E481" s="60">
        <v>706230</v>
      </c>
      <c r="F481" s="58">
        <f>VLOOKUP(E481,Comptes!$A$2:$B$44,2,FALSE)</f>
        <v>0</v>
      </c>
      <c r="G481" s="59"/>
      <c r="H481" s="63"/>
      <c r="I481" s="61">
        <v>260</v>
      </c>
      <c r="J481" s="35"/>
      <c r="K481" s="54">
        <f t="shared" si="2"/>
        <v>1</v>
      </c>
      <c r="L481" s="54">
        <f t="shared" si="3"/>
        <v>0</v>
      </c>
    </row>
    <row r="482" spans="1:12" ht="13.5" customHeight="1">
      <c r="A482" s="64">
        <v>267128</v>
      </c>
      <c r="B482" s="57">
        <v>39145</v>
      </c>
      <c r="C482" s="60">
        <v>530000</v>
      </c>
      <c r="D482" s="58">
        <f>VLOOKUP(C482,Comptes!$A$2:$B$44,2,FALSE)</f>
        <v>0</v>
      </c>
      <c r="E482" s="60">
        <v>706210</v>
      </c>
      <c r="F482" s="58">
        <f>VLOOKUP(E482,Comptes!$A$2:$B$44,2,FALSE)</f>
        <v>0</v>
      </c>
      <c r="G482" s="59"/>
      <c r="H482" s="63"/>
      <c r="I482" s="61">
        <v>76</v>
      </c>
      <c r="J482" s="35"/>
      <c r="K482" s="54">
        <f t="shared" si="2"/>
        <v>1</v>
      </c>
      <c r="L482" s="54">
        <f t="shared" si="3"/>
        <v>0</v>
      </c>
    </row>
    <row r="483" spans="1:12" ht="13.5" customHeight="1">
      <c r="A483" s="64">
        <v>267128</v>
      </c>
      <c r="B483" s="57">
        <v>39145</v>
      </c>
      <c r="C483" s="60">
        <v>530000</v>
      </c>
      <c r="D483" s="58">
        <f>VLOOKUP(C483,Comptes!$A$2:$B$44,2,FALSE)</f>
        <v>0</v>
      </c>
      <c r="E483" s="60">
        <v>706220</v>
      </c>
      <c r="F483" s="58">
        <f>VLOOKUP(E483,Comptes!$A$2:$B$44,2,FALSE)</f>
        <v>0</v>
      </c>
      <c r="G483" s="59"/>
      <c r="H483" s="63"/>
      <c r="I483" s="61">
        <v>56</v>
      </c>
      <c r="J483" s="35"/>
      <c r="K483" s="54">
        <f t="shared" si="2"/>
        <v>1</v>
      </c>
      <c r="L483" s="54">
        <f t="shared" si="3"/>
        <v>0</v>
      </c>
    </row>
    <row r="484" spans="1:12" ht="13.5" customHeight="1">
      <c r="A484" s="64">
        <v>267128</v>
      </c>
      <c r="B484" s="57">
        <v>39145</v>
      </c>
      <c r="C484" s="60">
        <v>530000</v>
      </c>
      <c r="D484" s="58">
        <f>VLOOKUP(C484,Comptes!$A$2:$B$44,2,FALSE)</f>
        <v>0</v>
      </c>
      <c r="E484" s="60">
        <v>756000</v>
      </c>
      <c r="F484" s="58">
        <f>VLOOKUP(E484,Comptes!$A$2:$B$44,2,FALSE)</f>
        <v>0</v>
      </c>
      <c r="G484" s="59"/>
      <c r="H484" s="63"/>
      <c r="I484" s="61">
        <v>32</v>
      </c>
      <c r="J484" s="35"/>
      <c r="K484" s="54">
        <f t="shared" si="2"/>
        <v>1</v>
      </c>
      <c r="L484" s="54">
        <f t="shared" si="3"/>
        <v>0</v>
      </c>
    </row>
    <row r="485" spans="1:12" ht="13.5" customHeight="1">
      <c r="A485" s="64">
        <v>267128</v>
      </c>
      <c r="B485" s="57">
        <v>39145</v>
      </c>
      <c r="C485" s="60">
        <v>530000</v>
      </c>
      <c r="D485" s="58">
        <f>VLOOKUP(C485,Comptes!$A$2:$B$44,2,FALSE)</f>
        <v>0</v>
      </c>
      <c r="E485" s="60">
        <v>708000</v>
      </c>
      <c r="F485" s="58">
        <f>VLOOKUP(E485,Comptes!$A$2:$B$44,2,FALSE)</f>
        <v>0</v>
      </c>
      <c r="G485" s="59"/>
      <c r="H485" s="63"/>
      <c r="I485" s="61">
        <v>9</v>
      </c>
      <c r="J485" s="35"/>
      <c r="K485" s="54">
        <f t="shared" si="2"/>
        <v>1</v>
      </c>
      <c r="L485" s="54">
        <f t="shared" si="3"/>
        <v>0</v>
      </c>
    </row>
    <row r="486" spans="1:12" ht="13.5" customHeight="1">
      <c r="A486" s="64">
        <v>267128</v>
      </c>
      <c r="B486" s="57">
        <v>39145</v>
      </c>
      <c r="C486" s="60">
        <v>530000</v>
      </c>
      <c r="D486" s="58">
        <f>VLOOKUP(C486,Comptes!$A$2:$B$44,2,FALSE)</f>
        <v>0</v>
      </c>
      <c r="E486" s="60">
        <v>706220</v>
      </c>
      <c r="F486" s="58">
        <f>VLOOKUP(E486,Comptes!$A$2:$B$44,2,FALSE)</f>
        <v>0</v>
      </c>
      <c r="G486" s="59"/>
      <c r="H486" s="63"/>
      <c r="I486" s="61">
        <v>73</v>
      </c>
      <c r="J486" s="35"/>
      <c r="K486" s="54">
        <f t="shared" si="2"/>
        <v>1</v>
      </c>
      <c r="L486" s="54">
        <f t="shared" si="3"/>
        <v>0</v>
      </c>
    </row>
    <row r="487" spans="1:12" ht="13.5" customHeight="1">
      <c r="A487" s="64">
        <v>267129</v>
      </c>
      <c r="B487" s="57">
        <v>39142</v>
      </c>
      <c r="C487" s="60">
        <v>512000</v>
      </c>
      <c r="D487" s="58">
        <f>VLOOKUP(C487,Comptes!$A$2:$B$44,2,FALSE)</f>
        <v>0</v>
      </c>
      <c r="E487" s="60">
        <v>706100</v>
      </c>
      <c r="F487" s="58">
        <f>VLOOKUP(E487,Comptes!$A$2:$B$44,2,FALSE)</f>
        <v>0</v>
      </c>
      <c r="G487" s="59" t="s">
        <v>170</v>
      </c>
      <c r="H487" s="59" t="s">
        <v>263</v>
      </c>
      <c r="I487" s="61">
        <v>30</v>
      </c>
      <c r="J487" s="35"/>
      <c r="K487" s="54">
        <f t="shared" si="2"/>
        <v>0</v>
      </c>
      <c r="L487" s="54">
        <f t="shared" si="3"/>
        <v>0</v>
      </c>
    </row>
    <row r="488" spans="1:12" ht="13.5" customHeight="1">
      <c r="A488" s="64">
        <v>267129</v>
      </c>
      <c r="B488" s="57">
        <v>39142</v>
      </c>
      <c r="C488" s="60">
        <v>512000</v>
      </c>
      <c r="D488" s="58">
        <f>VLOOKUP(C488,Comptes!$A$2:$B$44,2,FALSE)</f>
        <v>0</v>
      </c>
      <c r="E488" s="60">
        <v>706420</v>
      </c>
      <c r="F488" s="58">
        <f>VLOOKUP(E488,Comptes!$A$2:$B$44,2,FALSE)</f>
        <v>0</v>
      </c>
      <c r="G488" s="59" t="s">
        <v>170</v>
      </c>
      <c r="H488" s="59" t="s">
        <v>263</v>
      </c>
      <c r="I488" s="61">
        <v>1685.03</v>
      </c>
      <c r="J488" s="35"/>
      <c r="K488" s="54">
        <f t="shared" si="2"/>
        <v>0</v>
      </c>
      <c r="L488" s="54">
        <f t="shared" si="3"/>
        <v>0</v>
      </c>
    </row>
    <row r="489" spans="1:12" ht="13.5" customHeight="1">
      <c r="A489" s="64">
        <v>267129</v>
      </c>
      <c r="B489" s="57">
        <v>39142</v>
      </c>
      <c r="C489" s="60">
        <v>512000</v>
      </c>
      <c r="D489" s="58">
        <f>VLOOKUP(C489,Comptes!$A$2:$B$44,2,FALSE)</f>
        <v>0</v>
      </c>
      <c r="E489" s="60">
        <v>706100</v>
      </c>
      <c r="F489" s="58">
        <f>VLOOKUP(E489,Comptes!$A$2:$B$44,2,FALSE)</f>
        <v>0</v>
      </c>
      <c r="G489" s="59" t="s">
        <v>164</v>
      </c>
      <c r="H489" s="59" t="s">
        <v>263</v>
      </c>
      <c r="I489" s="61">
        <v>245</v>
      </c>
      <c r="J489" s="35"/>
      <c r="K489" s="54">
        <f t="shared" si="2"/>
        <v>0</v>
      </c>
      <c r="L489" s="54">
        <f t="shared" si="3"/>
        <v>0</v>
      </c>
    </row>
    <row r="490" spans="1:12" ht="13.5" customHeight="1">
      <c r="A490" s="64">
        <v>267129</v>
      </c>
      <c r="B490" s="57">
        <v>39142</v>
      </c>
      <c r="C490" s="60">
        <v>512000</v>
      </c>
      <c r="D490" s="58">
        <f>VLOOKUP(C490,Comptes!$A$2:$B$44,2,FALSE)</f>
        <v>0</v>
      </c>
      <c r="E490" s="60">
        <v>706420</v>
      </c>
      <c r="F490" s="58">
        <f>VLOOKUP(E490,Comptes!$A$2:$B$44,2,FALSE)</f>
        <v>0</v>
      </c>
      <c r="G490" s="59" t="s">
        <v>164</v>
      </c>
      <c r="H490" s="59" t="s">
        <v>263</v>
      </c>
      <c r="I490" s="61">
        <v>45</v>
      </c>
      <c r="J490" s="35"/>
      <c r="K490" s="54">
        <f t="shared" si="2"/>
        <v>0</v>
      </c>
      <c r="L490" s="54">
        <f t="shared" si="3"/>
        <v>0</v>
      </c>
    </row>
    <row r="491" spans="1:12" ht="13.5" customHeight="1">
      <c r="A491" s="64">
        <v>267130</v>
      </c>
      <c r="B491" s="57">
        <v>39147</v>
      </c>
      <c r="C491" s="60">
        <v>625000</v>
      </c>
      <c r="D491" s="58">
        <f>VLOOKUP(C491,Comptes!$A$2:$B$44,2,FALSE)</f>
        <v>0</v>
      </c>
      <c r="E491" s="60">
        <v>530000</v>
      </c>
      <c r="F491" s="58">
        <f>VLOOKUP(E491,Comptes!$A$2:$B$44,2,FALSE)</f>
        <v>0</v>
      </c>
      <c r="G491" s="59"/>
      <c r="H491" s="63"/>
      <c r="I491" s="61">
        <v>349.52</v>
      </c>
      <c r="J491" s="35"/>
      <c r="K491" s="54">
        <f t="shared" si="2"/>
        <v>1</v>
      </c>
      <c r="L491" s="54">
        <f t="shared" si="3"/>
        <v>0</v>
      </c>
    </row>
    <row r="492" spans="1:12" ht="13.5" customHeight="1">
      <c r="A492" s="64">
        <v>267130</v>
      </c>
      <c r="B492" s="57">
        <v>39147</v>
      </c>
      <c r="C492" s="60">
        <v>625000</v>
      </c>
      <c r="D492" s="58">
        <f>VLOOKUP(C492,Comptes!$A$2:$B$44,2,FALSE)</f>
        <v>0</v>
      </c>
      <c r="E492" s="60">
        <v>512000</v>
      </c>
      <c r="F492" s="58">
        <f>VLOOKUP(E492,Comptes!$A$2:$B$44,2,FALSE)</f>
        <v>0</v>
      </c>
      <c r="G492" s="59" t="s">
        <v>271</v>
      </c>
      <c r="H492" s="59" t="s">
        <v>263</v>
      </c>
      <c r="I492" s="61">
        <f>2.5+1.72+26.5+10.87</f>
        <v>41.589999999999996</v>
      </c>
      <c r="J492" s="35"/>
      <c r="K492" s="54">
        <f t="shared" si="2"/>
        <v>0</v>
      </c>
      <c r="L492" s="54">
        <f t="shared" si="3"/>
        <v>0</v>
      </c>
    </row>
    <row r="493" spans="1:12" ht="13.5" customHeight="1">
      <c r="A493" s="64">
        <v>267130</v>
      </c>
      <c r="B493" s="57">
        <v>39147</v>
      </c>
      <c r="C493" s="60">
        <v>625000</v>
      </c>
      <c r="D493" s="58">
        <f>VLOOKUP(C493,Comptes!$A$2:$B$44,2,FALSE)</f>
        <v>0</v>
      </c>
      <c r="E493" s="60">
        <v>512000</v>
      </c>
      <c r="F493" s="58">
        <f>VLOOKUP(E493,Comptes!$A$2:$B$44,2,FALSE)</f>
        <v>0</v>
      </c>
      <c r="G493" s="59" t="s">
        <v>271</v>
      </c>
      <c r="H493" s="59" t="s">
        <v>263</v>
      </c>
      <c r="I493" s="61">
        <v>136.9</v>
      </c>
      <c r="J493" s="35"/>
      <c r="K493" s="54">
        <f t="shared" si="2"/>
        <v>0</v>
      </c>
      <c r="L493" s="54">
        <f t="shared" si="3"/>
        <v>0</v>
      </c>
    </row>
    <row r="494" spans="1:12" ht="13.5" customHeight="1">
      <c r="A494" s="64">
        <v>267130</v>
      </c>
      <c r="B494" s="57">
        <v>39147</v>
      </c>
      <c r="C494" s="60">
        <v>625000</v>
      </c>
      <c r="D494" s="58">
        <f>VLOOKUP(C494,Comptes!$A$2:$B$44,2,FALSE)</f>
        <v>0</v>
      </c>
      <c r="E494" s="60">
        <v>512000</v>
      </c>
      <c r="F494" s="58">
        <f>VLOOKUP(E494,Comptes!$A$2:$B$44,2,FALSE)</f>
        <v>0</v>
      </c>
      <c r="G494" s="59" t="s">
        <v>272</v>
      </c>
      <c r="H494" s="59" t="s">
        <v>263</v>
      </c>
      <c r="I494" s="61">
        <v>214.56</v>
      </c>
      <c r="J494" s="35"/>
      <c r="K494" s="54">
        <f t="shared" si="2"/>
        <v>0</v>
      </c>
      <c r="L494" s="54">
        <f t="shared" si="3"/>
        <v>0</v>
      </c>
    </row>
    <row r="495" spans="1:12" ht="13.5" customHeight="1">
      <c r="A495" s="64">
        <v>267131</v>
      </c>
      <c r="B495" s="57">
        <v>39155</v>
      </c>
      <c r="C495" s="60">
        <v>626500</v>
      </c>
      <c r="D495" s="58">
        <f>VLOOKUP(C495,Comptes!$A$2:$B$44,2,FALSE)</f>
        <v>0</v>
      </c>
      <c r="E495" s="60">
        <v>512000</v>
      </c>
      <c r="F495" s="58">
        <f>VLOOKUP(E495,Comptes!$A$2:$B$44,2,FALSE)</f>
        <v>0</v>
      </c>
      <c r="G495" s="59" t="s">
        <v>178</v>
      </c>
      <c r="H495" s="59" t="s">
        <v>263</v>
      </c>
      <c r="I495" s="61">
        <v>181.16</v>
      </c>
      <c r="J495" s="35"/>
      <c r="K495" s="54">
        <f t="shared" si="2"/>
        <v>0</v>
      </c>
      <c r="L495" s="54">
        <f t="shared" si="3"/>
        <v>0</v>
      </c>
    </row>
    <row r="496" spans="1:12" ht="13.5" customHeight="1">
      <c r="A496" s="64">
        <v>267132</v>
      </c>
      <c r="B496" s="57">
        <v>39143</v>
      </c>
      <c r="C496" s="60">
        <v>512000</v>
      </c>
      <c r="D496" s="58">
        <f>VLOOKUP(C496,Comptes!$A$2:$B$44,2,FALSE)</f>
        <v>0</v>
      </c>
      <c r="E496" s="60">
        <v>754000</v>
      </c>
      <c r="F496" s="58">
        <f>VLOOKUP(E496,Comptes!$A$2:$B$44,2,FALSE)</f>
        <v>0</v>
      </c>
      <c r="G496" s="59" t="s">
        <v>171</v>
      </c>
      <c r="H496" s="59" t="s">
        <v>263</v>
      </c>
      <c r="I496" s="61">
        <v>15.15</v>
      </c>
      <c r="J496" s="64"/>
      <c r="K496" s="54">
        <f t="shared" si="2"/>
        <v>0</v>
      </c>
      <c r="L496" s="54">
        <f t="shared" si="3"/>
        <v>0</v>
      </c>
    </row>
    <row r="497" spans="1:12" ht="13.5" customHeight="1">
      <c r="A497" s="64">
        <v>267133</v>
      </c>
      <c r="B497" s="57">
        <v>39150</v>
      </c>
      <c r="C497" s="60">
        <v>606700</v>
      </c>
      <c r="D497" s="58">
        <f>VLOOKUP(C497,Comptes!$A$2:$B$44,2,FALSE)</f>
        <v>0</v>
      </c>
      <c r="E497" s="60">
        <v>512000</v>
      </c>
      <c r="F497" s="58">
        <f>VLOOKUP(E497,Comptes!$A$2:$B$44,2,FALSE)</f>
        <v>0</v>
      </c>
      <c r="G497" s="59" t="s">
        <v>273</v>
      </c>
      <c r="H497" s="59" t="s">
        <v>263</v>
      </c>
      <c r="I497" s="61">
        <v>131.19</v>
      </c>
      <c r="J497" s="35"/>
      <c r="K497" s="54">
        <f t="shared" si="2"/>
        <v>0</v>
      </c>
      <c r="L497" s="54">
        <f t="shared" si="3"/>
        <v>0</v>
      </c>
    </row>
    <row r="498" spans="1:12" ht="13.5" customHeight="1">
      <c r="A498" s="64">
        <v>267134</v>
      </c>
      <c r="B498" s="57">
        <v>39151</v>
      </c>
      <c r="C498" s="60">
        <v>613200</v>
      </c>
      <c r="D498" s="58">
        <f>VLOOKUP(C498,Comptes!$A$2:$B$44,2,FALSE)</f>
        <v>0</v>
      </c>
      <c r="E498" s="59">
        <v>512000</v>
      </c>
      <c r="F498" s="58">
        <f>VLOOKUP(E498,Comptes!$A$2:$B$44,2,FALSE)</f>
        <v>0</v>
      </c>
      <c r="G498" s="59" t="s">
        <v>178</v>
      </c>
      <c r="H498" s="59" t="s">
        <v>263</v>
      </c>
      <c r="I498" s="61">
        <v>972.01</v>
      </c>
      <c r="J498" s="64" t="s">
        <v>274</v>
      </c>
      <c r="K498" s="54">
        <f t="shared" si="2"/>
        <v>0</v>
      </c>
      <c r="L498" s="54">
        <f t="shared" si="3"/>
        <v>0</v>
      </c>
    </row>
    <row r="499" spans="1:12" ht="13.5" customHeight="1">
      <c r="A499" s="64">
        <v>267135</v>
      </c>
      <c r="B499" s="57">
        <v>39154</v>
      </c>
      <c r="C499" s="60">
        <v>626500</v>
      </c>
      <c r="D499" s="58">
        <f>VLOOKUP(C499,Comptes!$A$2:$B$44,2,FALSE)</f>
        <v>0</v>
      </c>
      <c r="E499" s="60">
        <v>512000</v>
      </c>
      <c r="F499" s="58">
        <f>VLOOKUP(E499,Comptes!$A$2:$B$44,2,FALSE)</f>
        <v>0</v>
      </c>
      <c r="G499" s="59" t="s">
        <v>178</v>
      </c>
      <c r="H499" s="59" t="s">
        <v>263</v>
      </c>
      <c r="I499" s="61">
        <v>21.4</v>
      </c>
      <c r="J499" s="35" t="s">
        <v>184</v>
      </c>
      <c r="K499" s="54">
        <f t="shared" si="2"/>
        <v>0</v>
      </c>
      <c r="L499" s="54">
        <f t="shared" si="3"/>
        <v>0</v>
      </c>
    </row>
    <row r="500" spans="1:12" ht="13.5" customHeight="1">
      <c r="A500" s="64">
        <v>267136</v>
      </c>
      <c r="B500" s="57">
        <v>39154</v>
      </c>
      <c r="C500" s="60">
        <v>512000</v>
      </c>
      <c r="D500" s="58">
        <f>VLOOKUP(C500,Comptes!$A$2:$B$44,2,FALSE)</f>
        <v>0</v>
      </c>
      <c r="E500" s="59">
        <v>706230</v>
      </c>
      <c r="F500" s="58">
        <f>VLOOKUP(E500,Comptes!$A$2:$B$44,2,FALSE)</f>
        <v>0</v>
      </c>
      <c r="G500" s="59" t="s">
        <v>170</v>
      </c>
      <c r="H500" s="59" t="s">
        <v>263</v>
      </c>
      <c r="I500" s="61">
        <v>300</v>
      </c>
      <c r="J500" s="64"/>
      <c r="K500" s="54">
        <f t="shared" si="2"/>
        <v>0</v>
      </c>
      <c r="L500" s="54">
        <f t="shared" si="3"/>
        <v>0</v>
      </c>
    </row>
    <row r="501" spans="1:12" ht="13.5" customHeight="1">
      <c r="A501" s="64">
        <v>267136</v>
      </c>
      <c r="B501" s="57">
        <v>39154</v>
      </c>
      <c r="C501" s="60">
        <v>512000</v>
      </c>
      <c r="D501" s="58">
        <f>VLOOKUP(C501,Comptes!$A$2:$B$44,2,FALSE)</f>
        <v>0</v>
      </c>
      <c r="E501" s="59">
        <v>706210</v>
      </c>
      <c r="F501" s="58">
        <f>VLOOKUP(E501,Comptes!$A$2:$B$44,2,FALSE)</f>
        <v>0</v>
      </c>
      <c r="G501" s="59" t="s">
        <v>170</v>
      </c>
      <c r="H501" s="59" t="s">
        <v>263</v>
      </c>
      <c r="I501" s="61">
        <v>233</v>
      </c>
      <c r="J501" s="64"/>
      <c r="K501" s="54">
        <f t="shared" si="2"/>
        <v>0</v>
      </c>
      <c r="L501" s="54">
        <f t="shared" si="3"/>
        <v>0</v>
      </c>
    </row>
    <row r="502" spans="1:12" ht="13.5" customHeight="1">
      <c r="A502" s="64">
        <v>267136</v>
      </c>
      <c r="B502" s="57">
        <v>39154</v>
      </c>
      <c r="C502" s="60">
        <v>512000</v>
      </c>
      <c r="D502" s="58">
        <f>VLOOKUP(C502,Comptes!$A$2:$B$44,2,FALSE)</f>
        <v>0</v>
      </c>
      <c r="E502" s="59">
        <v>706220</v>
      </c>
      <c r="F502" s="58">
        <f>VLOOKUP(E502,Comptes!$A$2:$B$44,2,FALSE)</f>
        <v>0</v>
      </c>
      <c r="G502" s="59" t="s">
        <v>170</v>
      </c>
      <c r="H502" s="59" t="s">
        <v>263</v>
      </c>
      <c r="I502" s="61">
        <v>210</v>
      </c>
      <c r="J502" s="64"/>
      <c r="K502" s="54">
        <f t="shared" si="2"/>
        <v>0</v>
      </c>
      <c r="L502" s="54">
        <f t="shared" si="3"/>
        <v>0</v>
      </c>
    </row>
    <row r="503" spans="1:12" ht="13.5" customHeight="1">
      <c r="A503" s="64">
        <v>267136</v>
      </c>
      <c r="B503" s="57">
        <v>39154</v>
      </c>
      <c r="C503" s="60">
        <v>512000</v>
      </c>
      <c r="D503" s="58">
        <f>VLOOKUP(C503,Comptes!$A$2:$B$44,2,FALSE)</f>
        <v>0</v>
      </c>
      <c r="E503" s="59">
        <v>756000</v>
      </c>
      <c r="F503" s="58">
        <f>VLOOKUP(E503,Comptes!$A$2:$B$44,2,FALSE)</f>
        <v>0</v>
      </c>
      <c r="G503" s="59" t="s">
        <v>170</v>
      </c>
      <c r="H503" s="59" t="s">
        <v>263</v>
      </c>
      <c r="I503" s="61">
        <v>42</v>
      </c>
      <c r="J503" s="64"/>
      <c r="K503" s="54">
        <f t="shared" si="2"/>
        <v>0</v>
      </c>
      <c r="L503" s="54">
        <f t="shared" si="3"/>
        <v>0</v>
      </c>
    </row>
    <row r="504" spans="1:12" ht="13.5" customHeight="1">
      <c r="A504" s="64">
        <v>267136</v>
      </c>
      <c r="B504" s="57">
        <v>39154</v>
      </c>
      <c r="C504" s="60">
        <v>511200</v>
      </c>
      <c r="D504" s="58">
        <f>VLOOKUP(C504,Comptes!$A$2:$B$44,2,FALSE)</f>
        <v>0</v>
      </c>
      <c r="E504" s="59">
        <v>512000</v>
      </c>
      <c r="F504" s="58">
        <f>VLOOKUP(E504,Comptes!$A$2:$B$44,2,FALSE)</f>
        <v>0</v>
      </c>
      <c r="G504" s="59" t="s">
        <v>170</v>
      </c>
      <c r="H504" s="59" t="s">
        <v>263</v>
      </c>
      <c r="I504" s="61">
        <v>102</v>
      </c>
      <c r="J504" s="53"/>
      <c r="K504" s="54">
        <f t="shared" si="2"/>
        <v>0</v>
      </c>
      <c r="L504" s="54">
        <f t="shared" si="3"/>
        <v>1</v>
      </c>
    </row>
    <row r="505" spans="1:12" ht="13.5" customHeight="1">
      <c r="A505" s="64">
        <v>267136</v>
      </c>
      <c r="B505" s="57">
        <v>39154</v>
      </c>
      <c r="C505" s="60">
        <v>512000</v>
      </c>
      <c r="D505" s="58">
        <f>VLOOKUP(C505,Comptes!$A$2:$B$44,2,FALSE)</f>
        <v>0</v>
      </c>
      <c r="E505" s="60">
        <v>511200</v>
      </c>
      <c r="F505" s="58">
        <f>VLOOKUP(E505,Comptes!$A$2:$B$44,2,FALSE)</f>
        <v>0</v>
      </c>
      <c r="G505" s="59" t="s">
        <v>170</v>
      </c>
      <c r="H505" s="59" t="s">
        <v>263</v>
      </c>
      <c r="I505" s="61">
        <v>262</v>
      </c>
      <c r="J505" s="53"/>
      <c r="K505" s="54">
        <f t="shared" si="2"/>
        <v>0</v>
      </c>
      <c r="L505" s="54">
        <f t="shared" si="3"/>
        <v>1</v>
      </c>
    </row>
    <row r="506" spans="1:12" ht="13.5" customHeight="1">
      <c r="A506" s="64">
        <v>267136</v>
      </c>
      <c r="B506" s="57">
        <v>39154</v>
      </c>
      <c r="C506" s="60">
        <v>512000</v>
      </c>
      <c r="D506" s="58">
        <f>VLOOKUP(C506,Comptes!$A$2:$B$44,2,FALSE)</f>
        <v>0</v>
      </c>
      <c r="E506" s="60">
        <v>756000</v>
      </c>
      <c r="F506" s="58">
        <f>VLOOKUP(E506,Comptes!$A$2:$B$44,2,FALSE)</f>
        <v>0</v>
      </c>
      <c r="G506" s="59" t="s">
        <v>170</v>
      </c>
      <c r="H506" s="59" t="s">
        <v>263</v>
      </c>
      <c r="I506" s="61">
        <v>70</v>
      </c>
      <c r="J506" s="35"/>
      <c r="K506" s="54">
        <f t="shared" si="2"/>
        <v>0</v>
      </c>
      <c r="L506" s="54">
        <f t="shared" si="3"/>
        <v>0</v>
      </c>
    </row>
    <row r="507" spans="1:12" ht="13.5" customHeight="1">
      <c r="A507" s="64">
        <v>267136</v>
      </c>
      <c r="B507" s="57">
        <v>39154</v>
      </c>
      <c r="C507" s="60">
        <v>512000</v>
      </c>
      <c r="D507" s="58">
        <f>VLOOKUP(C507,Comptes!$A$2:$B$44,2,FALSE)</f>
        <v>0</v>
      </c>
      <c r="E507" s="60">
        <v>756000</v>
      </c>
      <c r="F507" s="58">
        <f>VLOOKUP(E507,Comptes!$A$2:$B$44,2,FALSE)</f>
        <v>0</v>
      </c>
      <c r="G507" s="59" t="s">
        <v>170</v>
      </c>
      <c r="H507" s="59" t="s">
        <v>263</v>
      </c>
      <c r="I507" s="61">
        <v>32</v>
      </c>
      <c r="J507" s="35"/>
      <c r="K507" s="54">
        <f t="shared" si="2"/>
        <v>0</v>
      </c>
      <c r="L507" s="54">
        <f t="shared" si="3"/>
        <v>0</v>
      </c>
    </row>
    <row r="508" spans="1:12" ht="13.5" customHeight="1">
      <c r="A508" s="64">
        <v>267136</v>
      </c>
      <c r="B508" s="57">
        <v>39154</v>
      </c>
      <c r="C508" s="60">
        <v>512000</v>
      </c>
      <c r="D508" s="58">
        <f>VLOOKUP(C508,Comptes!$A$2:$B$44,2,FALSE)</f>
        <v>0</v>
      </c>
      <c r="E508" s="60">
        <v>708000</v>
      </c>
      <c r="F508" s="58">
        <f>VLOOKUP(E508,Comptes!$A$2:$B$44,2,FALSE)</f>
        <v>0</v>
      </c>
      <c r="G508" s="59" t="s">
        <v>170</v>
      </c>
      <c r="H508" s="59" t="s">
        <v>263</v>
      </c>
      <c r="I508" s="61">
        <v>9</v>
      </c>
      <c r="J508" s="35"/>
      <c r="K508" s="54">
        <f t="shared" si="2"/>
        <v>0</v>
      </c>
      <c r="L508" s="54">
        <f t="shared" si="3"/>
        <v>0</v>
      </c>
    </row>
    <row r="509" spans="1:12" ht="13.5" customHeight="1">
      <c r="A509" s="64">
        <v>267136</v>
      </c>
      <c r="B509" s="57">
        <v>39154</v>
      </c>
      <c r="C509" s="60">
        <v>512000</v>
      </c>
      <c r="D509" s="58">
        <f>VLOOKUP(C509,Comptes!$A$2:$B$44,2,FALSE)</f>
        <v>0</v>
      </c>
      <c r="E509" s="60">
        <v>754000</v>
      </c>
      <c r="F509" s="58">
        <f>VLOOKUP(E509,Comptes!$A$2:$B$44,2,FALSE)</f>
        <v>0</v>
      </c>
      <c r="G509" s="59" t="s">
        <v>170</v>
      </c>
      <c r="H509" s="59" t="s">
        <v>263</v>
      </c>
      <c r="I509" s="61">
        <v>50</v>
      </c>
      <c r="J509" s="35"/>
      <c r="K509" s="54">
        <f t="shared" si="2"/>
        <v>0</v>
      </c>
      <c r="L509" s="54">
        <f t="shared" si="3"/>
        <v>0</v>
      </c>
    </row>
    <row r="510" spans="1:12" ht="13.5" customHeight="1">
      <c r="A510" s="64">
        <v>267136</v>
      </c>
      <c r="B510" s="57">
        <v>39154</v>
      </c>
      <c r="C510" s="60">
        <v>530000</v>
      </c>
      <c r="D510" s="58">
        <f>VLOOKUP(C510,Comptes!$A$2:$B$44,2,FALSE)</f>
        <v>0</v>
      </c>
      <c r="E510" s="59">
        <v>706230</v>
      </c>
      <c r="F510" s="58">
        <f>VLOOKUP(E510,Comptes!$A$2:$B$44,2,FALSE)</f>
        <v>0</v>
      </c>
      <c r="G510" s="59"/>
      <c r="H510" s="63"/>
      <c r="I510" s="61">
        <v>40</v>
      </c>
      <c r="J510" s="64"/>
      <c r="K510" s="54">
        <f t="shared" si="2"/>
        <v>1</v>
      </c>
      <c r="L510" s="54">
        <f t="shared" si="3"/>
        <v>0</v>
      </c>
    </row>
    <row r="511" spans="1:12" ht="13.5" customHeight="1">
      <c r="A511" s="64">
        <v>267136</v>
      </c>
      <c r="B511" s="57">
        <v>39154</v>
      </c>
      <c r="C511" s="60">
        <v>530000</v>
      </c>
      <c r="D511" s="58">
        <f>VLOOKUP(C511,Comptes!$A$2:$B$44,2,FALSE)</f>
        <v>0</v>
      </c>
      <c r="E511" s="59">
        <v>706210</v>
      </c>
      <c r="F511" s="58">
        <f>VLOOKUP(E511,Comptes!$A$2:$B$44,2,FALSE)</f>
        <v>0</v>
      </c>
      <c r="G511" s="59"/>
      <c r="H511" s="63"/>
      <c r="I511" s="61">
        <v>42</v>
      </c>
      <c r="J511" s="64"/>
      <c r="K511" s="54">
        <f t="shared" si="2"/>
        <v>1</v>
      </c>
      <c r="L511" s="54">
        <f t="shared" si="3"/>
        <v>0</v>
      </c>
    </row>
    <row r="512" spans="1:12" ht="13.5" customHeight="1">
      <c r="A512" s="64">
        <v>267136</v>
      </c>
      <c r="B512" s="57">
        <v>39154</v>
      </c>
      <c r="C512" s="60">
        <v>530000</v>
      </c>
      <c r="D512" s="58">
        <f>VLOOKUP(C512,Comptes!$A$2:$B$44,2,FALSE)</f>
        <v>0</v>
      </c>
      <c r="E512" s="59">
        <v>706220</v>
      </c>
      <c r="F512" s="58">
        <f>VLOOKUP(E512,Comptes!$A$2:$B$44,2,FALSE)</f>
        <v>0</v>
      </c>
      <c r="G512" s="59"/>
      <c r="H512" s="63"/>
      <c r="I512" s="61">
        <v>28</v>
      </c>
      <c r="J512" s="64"/>
      <c r="K512" s="54">
        <f t="shared" si="2"/>
        <v>1</v>
      </c>
      <c r="L512" s="54">
        <f t="shared" si="3"/>
        <v>0</v>
      </c>
    </row>
    <row r="513" spans="1:12" ht="13.5" customHeight="1">
      <c r="A513" s="64">
        <v>267136</v>
      </c>
      <c r="B513" s="57">
        <v>39154</v>
      </c>
      <c r="C513" s="60">
        <v>530000</v>
      </c>
      <c r="D513" s="58">
        <f>VLOOKUP(C513,Comptes!$A$2:$B$44,2,FALSE)</f>
        <v>0</v>
      </c>
      <c r="E513" s="60">
        <v>706230</v>
      </c>
      <c r="F513" s="58">
        <f>VLOOKUP(E513,Comptes!$A$2:$B$44,2,FALSE)</f>
        <v>0</v>
      </c>
      <c r="G513" s="59"/>
      <c r="H513" s="63"/>
      <c r="I513" s="61">
        <v>21</v>
      </c>
      <c r="J513" s="35"/>
      <c r="K513" s="54">
        <f t="shared" si="2"/>
        <v>1</v>
      </c>
      <c r="L513" s="54">
        <f t="shared" si="3"/>
        <v>0</v>
      </c>
    </row>
    <row r="514" spans="1:12" ht="13.5" customHeight="1">
      <c r="A514" s="64">
        <v>267136</v>
      </c>
      <c r="B514" s="57">
        <v>39154</v>
      </c>
      <c r="C514" s="60">
        <v>530000</v>
      </c>
      <c r="D514" s="58">
        <f>VLOOKUP(C514,Comptes!$A$2:$B$44,2,FALSE)</f>
        <v>0</v>
      </c>
      <c r="E514" s="60">
        <v>706220</v>
      </c>
      <c r="F514" s="58">
        <f>VLOOKUP(E514,Comptes!$A$2:$B$44,2,FALSE)</f>
        <v>0</v>
      </c>
      <c r="G514" s="59"/>
      <c r="H514" s="63"/>
      <c r="I514" s="61">
        <v>20</v>
      </c>
      <c r="J514" s="35"/>
      <c r="K514" s="54">
        <f t="shared" si="2"/>
        <v>1</v>
      </c>
      <c r="L514" s="54">
        <f t="shared" si="3"/>
        <v>0</v>
      </c>
    </row>
    <row r="515" spans="1:12" ht="13.5" customHeight="1">
      <c r="A515" s="64">
        <v>267137</v>
      </c>
      <c r="B515" s="57">
        <v>39154</v>
      </c>
      <c r="C515" s="60">
        <v>615000</v>
      </c>
      <c r="D515" s="58">
        <f>VLOOKUP(C515,Comptes!$A$2:$B$44,2,FALSE)</f>
        <v>0</v>
      </c>
      <c r="E515" s="60">
        <v>512000</v>
      </c>
      <c r="F515" s="58">
        <f>VLOOKUP(E515,Comptes!$A$2:$B$44,2,FALSE)</f>
        <v>0</v>
      </c>
      <c r="G515" s="59" t="s">
        <v>275</v>
      </c>
      <c r="H515" s="59" t="s">
        <v>276</v>
      </c>
      <c r="I515" s="61">
        <v>189.48</v>
      </c>
      <c r="J515" s="35" t="s">
        <v>277</v>
      </c>
      <c r="K515" s="54">
        <f t="shared" si="2"/>
        <v>0</v>
      </c>
      <c r="L515" s="54">
        <f t="shared" si="3"/>
        <v>0</v>
      </c>
    </row>
    <row r="516" spans="1:12" ht="13.5" customHeight="1">
      <c r="A516" s="64">
        <v>267138</v>
      </c>
      <c r="B516" s="57">
        <v>39154</v>
      </c>
      <c r="C516" s="60">
        <v>641000</v>
      </c>
      <c r="D516" s="58">
        <f>VLOOKUP(C516,Comptes!$A$2:$B$44,2,FALSE)</f>
        <v>0</v>
      </c>
      <c r="E516" s="59">
        <v>512000</v>
      </c>
      <c r="F516" s="58">
        <f>VLOOKUP(E516,Comptes!$A$2:$B$44,2,FALSE)</f>
        <v>0</v>
      </c>
      <c r="G516" s="36" t="s">
        <v>278</v>
      </c>
      <c r="H516" s="59" t="s">
        <v>263</v>
      </c>
      <c r="I516" s="61">
        <v>343.2</v>
      </c>
      <c r="J516" s="35"/>
      <c r="K516" s="54">
        <f t="shared" si="2"/>
        <v>0</v>
      </c>
      <c r="L516" s="54">
        <f t="shared" si="3"/>
        <v>0</v>
      </c>
    </row>
    <row r="517" spans="1:12" ht="13.5" customHeight="1">
      <c r="A517" s="64">
        <v>267138</v>
      </c>
      <c r="B517" s="57">
        <v>39154</v>
      </c>
      <c r="C517" s="60">
        <v>645000</v>
      </c>
      <c r="D517" s="58">
        <f>VLOOKUP(C517,Comptes!$A$2:$B$44,2,FALSE)</f>
        <v>0</v>
      </c>
      <c r="E517" s="59">
        <v>512000</v>
      </c>
      <c r="F517" s="58">
        <f>VLOOKUP(E517,Comptes!$A$2:$B$44,2,FALSE)</f>
        <v>0</v>
      </c>
      <c r="G517" s="59" t="s">
        <v>178</v>
      </c>
      <c r="H517" s="63" t="s">
        <v>279</v>
      </c>
      <c r="I517" s="61">
        <v>181</v>
      </c>
      <c r="J517" s="35"/>
      <c r="K517" s="54">
        <f t="shared" si="2"/>
        <v>0</v>
      </c>
      <c r="L517" s="54">
        <f t="shared" si="3"/>
        <v>0</v>
      </c>
    </row>
    <row r="518" spans="1:256" s="66" customFormat="1" ht="13.5" customHeight="1">
      <c r="A518" s="64">
        <v>267139</v>
      </c>
      <c r="B518" s="57">
        <v>39154</v>
      </c>
      <c r="C518" s="60">
        <v>615000</v>
      </c>
      <c r="D518" s="58">
        <f>VLOOKUP(C518,Comptes!$A$2:$B$44,2,FALSE)</f>
        <v>0</v>
      </c>
      <c r="E518" s="59">
        <v>512000</v>
      </c>
      <c r="F518" s="58">
        <f>VLOOKUP(E518,Comptes!$A$2:$B$44,2,FALSE)</f>
        <v>0</v>
      </c>
      <c r="G518" s="59" t="s">
        <v>280</v>
      </c>
      <c r="H518" s="59" t="s">
        <v>276</v>
      </c>
      <c r="I518" s="61">
        <v>42.7</v>
      </c>
      <c r="J518" s="64"/>
      <c r="K518" s="54">
        <f t="shared" si="2"/>
        <v>0</v>
      </c>
      <c r="L518" s="54">
        <f t="shared" si="3"/>
        <v>0</v>
      </c>
      <c r="IV518"/>
    </row>
    <row r="519" spans="1:12" ht="13.5" customHeight="1">
      <c r="A519" s="65">
        <v>256173</v>
      </c>
      <c r="B519" s="57">
        <v>39154</v>
      </c>
      <c r="C519" s="60">
        <v>606110</v>
      </c>
      <c r="D519" s="58">
        <f>VLOOKUP(C519,Comptes!$A$2:$B$44,2,FALSE)</f>
        <v>0</v>
      </c>
      <c r="E519" s="59">
        <v>512000</v>
      </c>
      <c r="F519" s="58">
        <f>VLOOKUP(E519,Comptes!$A$2:$B$44,2,FALSE)</f>
        <v>0</v>
      </c>
      <c r="G519" s="36" t="s">
        <v>178</v>
      </c>
      <c r="H519" s="59" t="s">
        <v>263</v>
      </c>
      <c r="I519" s="37">
        <v>147</v>
      </c>
      <c r="J519" s="35" t="s">
        <v>181</v>
      </c>
      <c r="K519" s="54">
        <f t="shared" si="2"/>
        <v>0</v>
      </c>
      <c r="L519" s="54">
        <f t="shared" si="3"/>
        <v>0</v>
      </c>
    </row>
    <row r="520" spans="1:12" ht="13.5" customHeight="1">
      <c r="A520" s="65">
        <v>267140</v>
      </c>
      <c r="B520" s="57">
        <v>39154</v>
      </c>
      <c r="C520" s="60">
        <v>512000</v>
      </c>
      <c r="D520" s="58">
        <f>VLOOKUP(C520,Comptes!$A$2:$B$44,2,FALSE)</f>
        <v>0</v>
      </c>
      <c r="E520" s="59">
        <v>706230</v>
      </c>
      <c r="F520" s="58">
        <f>VLOOKUP(E520,Comptes!$A$2:$B$44,2,FALSE)</f>
        <v>0</v>
      </c>
      <c r="G520" s="36" t="s">
        <v>171</v>
      </c>
      <c r="H520" s="59" t="s">
        <v>263</v>
      </c>
      <c r="I520" s="37">
        <v>25</v>
      </c>
      <c r="J520" s="35"/>
      <c r="K520" s="54">
        <f t="shared" si="2"/>
        <v>0</v>
      </c>
      <c r="L520" s="54">
        <f t="shared" si="3"/>
        <v>0</v>
      </c>
    </row>
    <row r="521" spans="1:12" ht="13.5" customHeight="1">
      <c r="A521" s="65">
        <v>267140</v>
      </c>
      <c r="B521" s="57">
        <v>39146</v>
      </c>
      <c r="C521" s="60">
        <v>512000</v>
      </c>
      <c r="D521" s="58">
        <f>VLOOKUP(C521,Comptes!$A$2:$B$44,2,FALSE)</f>
        <v>0</v>
      </c>
      <c r="E521" s="59">
        <v>754000</v>
      </c>
      <c r="F521" s="58">
        <f>VLOOKUP(E521,Comptes!$A$2:$B$44,2,FALSE)</f>
        <v>0</v>
      </c>
      <c r="G521" s="59" t="s">
        <v>171</v>
      </c>
      <c r="H521" s="59" t="s">
        <v>263</v>
      </c>
      <c r="I521" s="61">
        <v>150</v>
      </c>
      <c r="J521" s="35"/>
      <c r="K521" s="54">
        <f t="shared" si="2"/>
        <v>0</v>
      </c>
      <c r="L521" s="54">
        <f t="shared" si="3"/>
        <v>0</v>
      </c>
    </row>
    <row r="522" spans="1:12" ht="13.5" customHeight="1">
      <c r="A522" s="65">
        <v>267140</v>
      </c>
      <c r="B522" s="57">
        <v>39150</v>
      </c>
      <c r="C522" s="60">
        <v>512000</v>
      </c>
      <c r="D522" s="58">
        <f>VLOOKUP(C522,Comptes!$A$2:$B$44,2,FALSE)</f>
        <v>0</v>
      </c>
      <c r="E522" s="59">
        <v>754000</v>
      </c>
      <c r="F522" s="58">
        <f>VLOOKUP(E522,Comptes!$A$2:$B$44,2,FALSE)</f>
        <v>0</v>
      </c>
      <c r="G522" s="59" t="s">
        <v>171</v>
      </c>
      <c r="H522" s="59" t="s">
        <v>263</v>
      </c>
      <c r="I522" s="61">
        <v>15</v>
      </c>
      <c r="J522" s="35"/>
      <c r="K522" s="54">
        <f t="shared" si="2"/>
        <v>0</v>
      </c>
      <c r="L522" s="54">
        <f t="shared" si="3"/>
        <v>0</v>
      </c>
    </row>
    <row r="523" spans="1:12" ht="13.5" customHeight="1">
      <c r="A523" s="65">
        <v>267140</v>
      </c>
      <c r="B523" s="57">
        <v>39156</v>
      </c>
      <c r="C523" s="60">
        <v>512000</v>
      </c>
      <c r="D523" s="58">
        <f>VLOOKUP(C523,Comptes!$A$2:$B$44,2,FALSE)</f>
        <v>0</v>
      </c>
      <c r="E523" s="59">
        <v>754000</v>
      </c>
      <c r="F523" s="58">
        <f>VLOOKUP(E523,Comptes!$A$2:$B$44,2,FALSE)</f>
        <v>0</v>
      </c>
      <c r="G523" s="59" t="s">
        <v>171</v>
      </c>
      <c r="H523" s="59" t="s">
        <v>263</v>
      </c>
      <c r="I523" s="61">
        <v>15</v>
      </c>
      <c r="J523" s="35"/>
      <c r="K523" s="54">
        <f t="shared" si="2"/>
        <v>0</v>
      </c>
      <c r="L523" s="54">
        <f t="shared" si="3"/>
        <v>0</v>
      </c>
    </row>
    <row r="524" spans="1:12" ht="13.5" customHeight="1">
      <c r="A524" s="65">
        <v>267141</v>
      </c>
      <c r="B524" s="57">
        <v>39156</v>
      </c>
      <c r="C524" s="60">
        <v>606700</v>
      </c>
      <c r="D524" s="58">
        <f>VLOOKUP(C524,Comptes!$A$2:$B$44,2,FALSE)</f>
        <v>0</v>
      </c>
      <c r="E524" s="59">
        <v>512000</v>
      </c>
      <c r="F524" s="58">
        <f>VLOOKUP(E524,Comptes!$A$2:$B$44,2,FALSE)</f>
        <v>0</v>
      </c>
      <c r="G524" s="59" t="s">
        <v>281</v>
      </c>
      <c r="H524" s="59" t="s">
        <v>276</v>
      </c>
      <c r="I524" s="61">
        <v>96.92</v>
      </c>
      <c r="J524" s="35"/>
      <c r="K524" s="54">
        <f t="shared" si="2"/>
        <v>0</v>
      </c>
      <c r="L524" s="54">
        <f t="shared" si="3"/>
        <v>0</v>
      </c>
    </row>
    <row r="525" spans="1:12" ht="13.5" customHeight="1">
      <c r="A525" s="65">
        <v>267141</v>
      </c>
      <c r="B525" s="57">
        <v>39156</v>
      </c>
      <c r="C525" s="60">
        <v>606700</v>
      </c>
      <c r="D525" s="58">
        <f>VLOOKUP(C525,Comptes!$A$2:$B$44,2,FALSE)</f>
        <v>0</v>
      </c>
      <c r="E525" s="59">
        <v>512000</v>
      </c>
      <c r="F525" s="58">
        <f>VLOOKUP(E525,Comptes!$A$2:$B$44,2,FALSE)</f>
        <v>0</v>
      </c>
      <c r="G525" s="59" t="s">
        <v>282</v>
      </c>
      <c r="H525" s="59" t="s">
        <v>276</v>
      </c>
      <c r="I525" s="61">
        <v>126.89</v>
      </c>
      <c r="J525" s="35"/>
      <c r="K525" s="54">
        <f t="shared" si="2"/>
        <v>0</v>
      </c>
      <c r="L525" s="54">
        <f t="shared" si="3"/>
        <v>0</v>
      </c>
    </row>
    <row r="526" spans="1:12" ht="13.5" customHeight="1">
      <c r="A526" s="65">
        <v>267142</v>
      </c>
      <c r="B526" s="57">
        <v>39159</v>
      </c>
      <c r="C526" s="60">
        <v>625000</v>
      </c>
      <c r="D526" s="58">
        <f>VLOOKUP(C526,Comptes!$A$2:$B$44,2,FALSE)</f>
        <v>0</v>
      </c>
      <c r="E526" s="59">
        <v>512000</v>
      </c>
      <c r="F526" s="58">
        <f>VLOOKUP(E526,Comptes!$A$2:$B$44,2,FALSE)</f>
        <v>0</v>
      </c>
      <c r="G526" s="59" t="s">
        <v>283</v>
      </c>
      <c r="H526" s="59" t="s">
        <v>276</v>
      </c>
      <c r="I526" s="61">
        <v>100</v>
      </c>
      <c r="J526" s="35"/>
      <c r="K526" s="54">
        <f t="shared" si="2"/>
        <v>0</v>
      </c>
      <c r="L526" s="54">
        <f t="shared" si="3"/>
        <v>0</v>
      </c>
    </row>
    <row r="527" spans="1:12" ht="13.5" customHeight="1">
      <c r="A527" s="65">
        <v>267142</v>
      </c>
      <c r="B527" s="57">
        <v>39159</v>
      </c>
      <c r="C527" s="60">
        <v>606400</v>
      </c>
      <c r="D527" s="58">
        <f>VLOOKUP(C527,Comptes!$A$2:$B$44,2,FALSE)</f>
        <v>0</v>
      </c>
      <c r="E527" s="59">
        <v>512000</v>
      </c>
      <c r="F527" s="58">
        <f>VLOOKUP(E527,Comptes!$A$2:$B$44,2,FALSE)</f>
        <v>0</v>
      </c>
      <c r="G527" s="59" t="s">
        <v>283</v>
      </c>
      <c r="H527" s="59" t="s">
        <v>276</v>
      </c>
      <c r="I527" s="61">
        <v>120</v>
      </c>
      <c r="J527" s="35"/>
      <c r="K527" s="54">
        <f t="shared" si="2"/>
        <v>0</v>
      </c>
      <c r="L527" s="54">
        <f t="shared" si="3"/>
        <v>0</v>
      </c>
    </row>
    <row r="528" spans="1:12" ht="13.5" customHeight="1">
      <c r="A528" s="65">
        <v>267143</v>
      </c>
      <c r="B528" s="57">
        <v>39159</v>
      </c>
      <c r="C528" s="60">
        <v>606150</v>
      </c>
      <c r="D528" s="58">
        <f>VLOOKUP(C528,Comptes!$A$2:$B$44,2,FALSE)</f>
        <v>0</v>
      </c>
      <c r="E528" s="60">
        <v>512000</v>
      </c>
      <c r="F528" s="58">
        <f>VLOOKUP(E528,Comptes!$A$2:$B$44,2,FALSE)</f>
        <v>0</v>
      </c>
      <c r="G528" s="59" t="s">
        <v>284</v>
      </c>
      <c r="H528" s="59" t="s">
        <v>276</v>
      </c>
      <c r="I528" s="61">
        <v>925.11</v>
      </c>
      <c r="J528" s="35" t="s">
        <v>285</v>
      </c>
      <c r="K528" s="54">
        <f t="shared" si="2"/>
        <v>0</v>
      </c>
      <c r="L528" s="54">
        <f t="shared" si="3"/>
        <v>0</v>
      </c>
    </row>
    <row r="529" spans="1:12" ht="13.5" customHeight="1">
      <c r="A529" s="65">
        <v>267144</v>
      </c>
      <c r="B529" s="57">
        <v>39163</v>
      </c>
      <c r="C529" s="60">
        <v>606700</v>
      </c>
      <c r="D529" s="58">
        <f>VLOOKUP(C529,Comptes!$A$2:$B$44,2,FALSE)</f>
        <v>0</v>
      </c>
      <c r="E529" s="60">
        <v>530000</v>
      </c>
      <c r="F529" s="58">
        <f>VLOOKUP(E529,Comptes!$A$2:$B$44,2,FALSE)</f>
        <v>0</v>
      </c>
      <c r="G529" s="59"/>
      <c r="H529" s="63"/>
      <c r="I529" s="61">
        <f>28.05+12.85+15</f>
        <v>55.9</v>
      </c>
      <c r="J529" s="35"/>
      <c r="K529" s="54">
        <f t="shared" si="2"/>
        <v>1</v>
      </c>
      <c r="L529" s="54">
        <f t="shared" si="3"/>
        <v>0</v>
      </c>
    </row>
    <row r="530" spans="1:12" ht="13.5" customHeight="1">
      <c r="A530" s="65">
        <v>267144</v>
      </c>
      <c r="B530" s="57">
        <v>39163</v>
      </c>
      <c r="C530" s="60">
        <v>606700</v>
      </c>
      <c r="D530" s="58">
        <f>VLOOKUP(C530,Comptes!$A$2:$B$44,2,FALSE)</f>
        <v>0</v>
      </c>
      <c r="E530" s="60">
        <v>530000</v>
      </c>
      <c r="F530" s="58">
        <f>VLOOKUP(E530,Comptes!$A$2:$B$44,2,FALSE)</f>
        <v>0</v>
      </c>
      <c r="G530" s="59"/>
      <c r="H530" s="63"/>
      <c r="I530" s="61">
        <v>48</v>
      </c>
      <c r="J530" s="35"/>
      <c r="K530" s="54">
        <f t="shared" si="2"/>
        <v>1</v>
      </c>
      <c r="L530" s="54">
        <f t="shared" si="3"/>
        <v>0</v>
      </c>
    </row>
    <row r="531" spans="1:12" ht="13.5" customHeight="1">
      <c r="A531" s="65">
        <v>267144</v>
      </c>
      <c r="B531" s="57">
        <v>39164</v>
      </c>
      <c r="C531" s="60">
        <v>625000</v>
      </c>
      <c r="D531" s="58">
        <f>VLOOKUP(C531,Comptes!$A$2:$B$44,2,FALSE)</f>
        <v>0</v>
      </c>
      <c r="E531" s="60">
        <v>512000</v>
      </c>
      <c r="F531" s="58">
        <f>VLOOKUP(E531,Comptes!$A$2:$B$44,2,FALSE)</f>
        <v>0</v>
      </c>
      <c r="G531" s="59" t="s">
        <v>286</v>
      </c>
      <c r="H531" s="59" t="s">
        <v>276</v>
      </c>
      <c r="I531" s="61">
        <v>2850</v>
      </c>
      <c r="J531" s="35"/>
      <c r="K531" s="54">
        <f t="shared" si="2"/>
        <v>0</v>
      </c>
      <c r="L531" s="54">
        <f t="shared" si="3"/>
        <v>0</v>
      </c>
    </row>
    <row r="532" spans="1:12" ht="13.5" customHeight="1">
      <c r="A532" s="65">
        <v>267144</v>
      </c>
      <c r="B532" s="57">
        <v>39163</v>
      </c>
      <c r="C532" s="60">
        <v>606700</v>
      </c>
      <c r="D532" s="58">
        <f>VLOOKUP(C532,Comptes!$A$2:$B$44,2,FALSE)</f>
        <v>0</v>
      </c>
      <c r="E532" s="60">
        <v>512000</v>
      </c>
      <c r="F532" s="58">
        <f>VLOOKUP(E532,Comptes!$A$2:$B$44,2,FALSE)</f>
        <v>0</v>
      </c>
      <c r="G532" s="59" t="s">
        <v>287</v>
      </c>
      <c r="H532" s="59" t="s">
        <v>276</v>
      </c>
      <c r="I532" s="61">
        <v>32.33</v>
      </c>
      <c r="J532" s="35"/>
      <c r="K532" s="54">
        <f t="shared" si="2"/>
        <v>0</v>
      </c>
      <c r="L532" s="54">
        <f t="shared" si="3"/>
        <v>0</v>
      </c>
    </row>
    <row r="533" spans="1:12" ht="13.5" customHeight="1">
      <c r="A533" s="65">
        <v>267145</v>
      </c>
      <c r="B533" s="57">
        <v>39164</v>
      </c>
      <c r="C533" s="60">
        <v>512000</v>
      </c>
      <c r="D533" s="58">
        <f>VLOOKUP(C533,Comptes!$A$2:$B$44,2,FALSE)</f>
        <v>0</v>
      </c>
      <c r="E533" s="60">
        <v>706230</v>
      </c>
      <c r="F533" s="58">
        <f>VLOOKUP(E533,Comptes!$A$2:$B$44,2,FALSE)</f>
        <v>0</v>
      </c>
      <c r="G533" s="59" t="s">
        <v>170</v>
      </c>
      <c r="H533" s="59" t="s">
        <v>276</v>
      </c>
      <c r="I533" s="61">
        <v>374</v>
      </c>
      <c r="J533" s="35"/>
      <c r="K533" s="54">
        <f t="shared" si="2"/>
        <v>0</v>
      </c>
      <c r="L533" s="54">
        <f t="shared" si="3"/>
        <v>0</v>
      </c>
    </row>
    <row r="534" spans="1:12" ht="13.5" customHeight="1">
      <c r="A534" s="65">
        <v>267145</v>
      </c>
      <c r="B534" s="57">
        <v>39164</v>
      </c>
      <c r="C534" s="60">
        <v>512000</v>
      </c>
      <c r="D534" s="58">
        <f>VLOOKUP(C534,Comptes!$A$2:$B$44,2,FALSE)</f>
        <v>0</v>
      </c>
      <c r="E534" s="60">
        <v>706210</v>
      </c>
      <c r="F534" s="58">
        <f>VLOOKUP(E534,Comptes!$A$2:$B$44,2,FALSE)</f>
        <v>0</v>
      </c>
      <c r="G534" s="59" t="s">
        <v>170</v>
      </c>
      <c r="H534" s="59" t="s">
        <v>276</v>
      </c>
      <c r="I534" s="61">
        <v>127</v>
      </c>
      <c r="J534" s="35"/>
      <c r="K534" s="54">
        <f t="shared" si="2"/>
        <v>0</v>
      </c>
      <c r="L534" s="54">
        <f t="shared" si="3"/>
        <v>0</v>
      </c>
    </row>
    <row r="535" spans="1:12" ht="13.5" customHeight="1">
      <c r="A535" s="65">
        <v>267145</v>
      </c>
      <c r="B535" s="57">
        <v>39164</v>
      </c>
      <c r="C535" s="60">
        <v>512000</v>
      </c>
      <c r="D535" s="58">
        <f>VLOOKUP(C535,Comptes!$A$2:$B$44,2,FALSE)</f>
        <v>0</v>
      </c>
      <c r="E535" s="60">
        <v>706220</v>
      </c>
      <c r="F535" s="58">
        <f>VLOOKUP(E535,Comptes!$A$2:$B$44,2,FALSE)</f>
        <v>0</v>
      </c>
      <c r="G535" s="59" t="s">
        <v>170</v>
      </c>
      <c r="H535" s="59" t="s">
        <v>276</v>
      </c>
      <c r="I535" s="61">
        <v>112</v>
      </c>
      <c r="J535" s="35"/>
      <c r="K535" s="54">
        <f t="shared" si="2"/>
        <v>0</v>
      </c>
      <c r="L535" s="54">
        <f t="shared" si="3"/>
        <v>0</v>
      </c>
    </row>
    <row r="536" spans="1:12" ht="13.5" customHeight="1">
      <c r="A536" s="65">
        <v>267145</v>
      </c>
      <c r="B536" s="57">
        <v>39164</v>
      </c>
      <c r="C536" s="60">
        <v>512000</v>
      </c>
      <c r="D536" s="58">
        <f>VLOOKUP(C536,Comptes!$A$2:$B$44,2,FALSE)</f>
        <v>0</v>
      </c>
      <c r="E536" s="60">
        <v>756000</v>
      </c>
      <c r="F536" s="58">
        <f>VLOOKUP(E536,Comptes!$A$2:$B$44,2,FALSE)</f>
        <v>0</v>
      </c>
      <c r="G536" s="59" t="s">
        <v>170</v>
      </c>
      <c r="H536" s="59" t="s">
        <v>276</v>
      </c>
      <c r="I536" s="61">
        <v>10</v>
      </c>
      <c r="J536" s="35"/>
      <c r="K536" s="54">
        <f t="shared" si="2"/>
        <v>0</v>
      </c>
      <c r="L536" s="54">
        <f t="shared" si="3"/>
        <v>0</v>
      </c>
    </row>
    <row r="537" spans="1:12" ht="13.5" customHeight="1">
      <c r="A537" s="65">
        <v>267145</v>
      </c>
      <c r="B537" s="57">
        <v>39164</v>
      </c>
      <c r="C537" s="60">
        <v>511200</v>
      </c>
      <c r="D537" s="58">
        <f>VLOOKUP(C537,Comptes!$A$2:$B$44,2,FALSE)</f>
        <v>0</v>
      </c>
      <c r="E537" s="60">
        <v>512000</v>
      </c>
      <c r="F537" s="58">
        <f>VLOOKUP(E537,Comptes!$A$2:$B$44,2,FALSE)</f>
        <v>0</v>
      </c>
      <c r="G537" s="59" t="s">
        <v>170</v>
      </c>
      <c r="H537" s="59" t="s">
        <v>276</v>
      </c>
      <c r="I537" s="61">
        <v>120</v>
      </c>
      <c r="J537" s="35"/>
      <c r="K537" s="54">
        <f t="shared" si="2"/>
        <v>0</v>
      </c>
      <c r="L537" s="54">
        <f t="shared" si="3"/>
        <v>1</v>
      </c>
    </row>
    <row r="538" spans="1:12" ht="13.5" customHeight="1">
      <c r="A538" s="65">
        <v>267145</v>
      </c>
      <c r="B538" s="57">
        <v>39164</v>
      </c>
      <c r="C538" s="60">
        <v>512000</v>
      </c>
      <c r="D538" s="58">
        <f>VLOOKUP(C538,Comptes!$A$2:$B$44,2,FALSE)</f>
        <v>0</v>
      </c>
      <c r="E538" s="59">
        <v>511200</v>
      </c>
      <c r="F538" s="58">
        <f>VLOOKUP(E538,Comptes!$A$2:$B$44,2,FALSE)</f>
        <v>0</v>
      </c>
      <c r="G538" s="59" t="s">
        <v>170</v>
      </c>
      <c r="H538" s="59" t="s">
        <v>276</v>
      </c>
      <c r="I538" s="61">
        <v>102</v>
      </c>
      <c r="J538" s="53"/>
      <c r="K538" s="54">
        <f t="shared" si="2"/>
        <v>0</v>
      </c>
      <c r="L538" s="54">
        <f t="shared" si="3"/>
        <v>1</v>
      </c>
    </row>
    <row r="539" spans="1:12" ht="13.5" customHeight="1">
      <c r="A539" s="65">
        <v>267145</v>
      </c>
      <c r="B539" s="57">
        <v>39164</v>
      </c>
      <c r="C539" s="60">
        <v>530000</v>
      </c>
      <c r="D539" s="58">
        <f>VLOOKUP(C539,Comptes!$A$2:$B$44,2,FALSE)</f>
        <v>0</v>
      </c>
      <c r="E539" s="60">
        <v>706230</v>
      </c>
      <c r="F539" s="58">
        <f>VLOOKUP(E539,Comptes!$A$2:$B$44,2,FALSE)</f>
        <v>0</v>
      </c>
      <c r="G539" s="59"/>
      <c r="H539" s="63"/>
      <c r="I539" s="61">
        <v>56</v>
      </c>
      <c r="J539" s="35"/>
      <c r="K539" s="54">
        <f t="shared" si="2"/>
        <v>1</v>
      </c>
      <c r="L539" s="54">
        <f t="shared" si="3"/>
        <v>0</v>
      </c>
    </row>
    <row r="540" spans="1:12" ht="13.5" customHeight="1">
      <c r="A540" s="65">
        <v>267145</v>
      </c>
      <c r="B540" s="57">
        <v>39164</v>
      </c>
      <c r="C540" s="60">
        <v>530000</v>
      </c>
      <c r="D540" s="58">
        <f>VLOOKUP(C540,Comptes!$A$2:$B$44,2,FALSE)</f>
        <v>0</v>
      </c>
      <c r="E540" s="60">
        <v>706210</v>
      </c>
      <c r="F540" s="58">
        <f>VLOOKUP(E540,Comptes!$A$2:$B$44,2,FALSE)</f>
        <v>0</v>
      </c>
      <c r="G540" s="59"/>
      <c r="H540" s="63"/>
      <c r="I540" s="61">
        <v>108</v>
      </c>
      <c r="J540" s="35"/>
      <c r="K540" s="54">
        <f t="shared" si="2"/>
        <v>1</v>
      </c>
      <c r="L540" s="54">
        <f t="shared" si="3"/>
        <v>0</v>
      </c>
    </row>
    <row r="541" spans="1:12" ht="13.5" customHeight="1">
      <c r="A541" s="65">
        <v>267145</v>
      </c>
      <c r="B541" s="57">
        <v>39164</v>
      </c>
      <c r="C541" s="60">
        <v>530000</v>
      </c>
      <c r="D541" s="58">
        <f>VLOOKUP(C541,Comptes!$A$2:$B$44,2,FALSE)</f>
        <v>0</v>
      </c>
      <c r="E541" s="60">
        <v>706220</v>
      </c>
      <c r="F541" s="58">
        <f>VLOOKUP(E541,Comptes!$A$2:$B$44,2,FALSE)</f>
        <v>0</v>
      </c>
      <c r="G541" s="59"/>
      <c r="H541" s="63"/>
      <c r="I541" s="61">
        <v>56</v>
      </c>
      <c r="J541" s="35"/>
      <c r="K541" s="54">
        <f t="shared" si="2"/>
        <v>1</v>
      </c>
      <c r="L541" s="54">
        <f t="shared" si="3"/>
        <v>0</v>
      </c>
    </row>
    <row r="542" spans="1:12" ht="13.5" customHeight="1">
      <c r="A542" s="65">
        <v>267145</v>
      </c>
      <c r="B542" s="57">
        <v>39164</v>
      </c>
      <c r="C542" s="60">
        <v>530000</v>
      </c>
      <c r="D542" s="58">
        <f>VLOOKUP(C542,Comptes!$A$2:$B$44,2,FALSE)</f>
        <v>0</v>
      </c>
      <c r="E542" s="60">
        <v>706230</v>
      </c>
      <c r="F542" s="58">
        <f>VLOOKUP(E542,Comptes!$A$2:$B$44,2,FALSE)</f>
        <v>0</v>
      </c>
      <c r="G542" s="59"/>
      <c r="H542" s="63"/>
      <c r="I542" s="61">
        <v>54</v>
      </c>
      <c r="J542" s="35"/>
      <c r="K542" s="54">
        <f t="shared" si="2"/>
        <v>1</v>
      </c>
      <c r="L542" s="54">
        <f t="shared" si="3"/>
        <v>0</v>
      </c>
    </row>
    <row r="543" spans="1:12" ht="13.5" customHeight="1">
      <c r="A543" s="65">
        <v>267146</v>
      </c>
      <c r="B543" s="57">
        <v>39164</v>
      </c>
      <c r="C543" s="60">
        <v>615000</v>
      </c>
      <c r="D543" s="58">
        <f>VLOOKUP(C543,Comptes!$A$2:$B$44,2,FALSE)</f>
        <v>0</v>
      </c>
      <c r="E543" s="60">
        <v>512000</v>
      </c>
      <c r="F543" s="58">
        <f>VLOOKUP(E543,Comptes!$A$2:$B$44,2,FALSE)</f>
        <v>0</v>
      </c>
      <c r="G543" s="59" t="s">
        <v>288</v>
      </c>
      <c r="H543" s="63" t="s">
        <v>279</v>
      </c>
      <c r="I543" s="61">
        <v>103.86</v>
      </c>
      <c r="J543" s="35" t="s">
        <v>277</v>
      </c>
      <c r="K543" s="54">
        <f t="shared" si="2"/>
        <v>0</v>
      </c>
      <c r="L543" s="54">
        <f t="shared" si="3"/>
        <v>0</v>
      </c>
    </row>
    <row r="544" spans="1:12" ht="13.5" customHeight="1">
      <c r="A544" s="65">
        <v>267147</v>
      </c>
      <c r="B544" s="57">
        <v>39167</v>
      </c>
      <c r="C544" s="60">
        <v>606300</v>
      </c>
      <c r="D544" s="58">
        <f>VLOOKUP(C544,Comptes!$A$2:$B$44,2,FALSE)</f>
        <v>0</v>
      </c>
      <c r="E544" s="60">
        <v>530000</v>
      </c>
      <c r="F544" s="58">
        <f>VLOOKUP(E544,Comptes!$A$2:$B$44,2,FALSE)</f>
        <v>0</v>
      </c>
      <c r="G544" s="59"/>
      <c r="H544" s="63"/>
      <c r="I544" s="61">
        <v>328.6</v>
      </c>
      <c r="J544" s="35" t="s">
        <v>289</v>
      </c>
      <c r="K544" s="54">
        <f t="shared" si="2"/>
        <v>1</v>
      </c>
      <c r="L544" s="54">
        <f t="shared" si="3"/>
        <v>0</v>
      </c>
    </row>
    <row r="545" spans="1:12" ht="13.5" customHeight="1">
      <c r="A545" s="65">
        <v>267148</v>
      </c>
      <c r="B545" s="57">
        <v>39167</v>
      </c>
      <c r="C545" s="60">
        <v>606300</v>
      </c>
      <c r="D545" s="58">
        <f>VLOOKUP(C545,Comptes!$A$2:$B$44,2,FALSE)</f>
        <v>0</v>
      </c>
      <c r="E545" s="60">
        <v>530000</v>
      </c>
      <c r="F545" s="58">
        <f>VLOOKUP(E545,Comptes!$A$2:$B$44,2,FALSE)</f>
        <v>0</v>
      </c>
      <c r="G545" s="59"/>
      <c r="H545" s="63"/>
      <c r="I545" s="61">
        <v>18.08</v>
      </c>
      <c r="J545" s="35" t="s">
        <v>290</v>
      </c>
      <c r="K545" s="54">
        <f t="shared" si="2"/>
        <v>1</v>
      </c>
      <c r="L545" s="54">
        <f t="shared" si="3"/>
        <v>0</v>
      </c>
    </row>
    <row r="546" spans="1:12" ht="13.5" customHeight="1">
      <c r="A546" s="65">
        <v>267148</v>
      </c>
      <c r="B546" s="57">
        <v>39167</v>
      </c>
      <c r="C546" s="60">
        <v>606700</v>
      </c>
      <c r="D546" s="58">
        <f>VLOOKUP(C546,Comptes!$A$2:$B$44,2,FALSE)</f>
        <v>0</v>
      </c>
      <c r="E546" s="60">
        <v>530000</v>
      </c>
      <c r="F546" s="58">
        <f>VLOOKUP(E546,Comptes!$A$2:$B$44,2,FALSE)</f>
        <v>0</v>
      </c>
      <c r="G546" s="59"/>
      <c r="H546" s="63"/>
      <c r="I546" s="61">
        <v>11.5</v>
      </c>
      <c r="J546" s="35"/>
      <c r="K546" s="54">
        <f t="shared" si="2"/>
        <v>1</v>
      </c>
      <c r="L546" s="54">
        <f t="shared" si="3"/>
        <v>0</v>
      </c>
    </row>
    <row r="547" spans="1:12" ht="13.5" customHeight="1">
      <c r="A547" s="65">
        <v>267149</v>
      </c>
      <c r="B547" s="57">
        <v>39169</v>
      </c>
      <c r="C547" s="60">
        <v>625000</v>
      </c>
      <c r="D547" s="58">
        <f>VLOOKUP(C547,Comptes!$A$2:$B$44,2,FALSE)</f>
        <v>0</v>
      </c>
      <c r="E547" s="60">
        <v>512000</v>
      </c>
      <c r="F547" s="58">
        <f>VLOOKUP(E547,Comptes!$A$2:$B$44,2,FALSE)</f>
        <v>0</v>
      </c>
      <c r="G547" s="59" t="s">
        <v>291</v>
      </c>
      <c r="H547" s="63" t="s">
        <v>279</v>
      </c>
      <c r="I547" s="61">
        <v>160</v>
      </c>
      <c r="J547" s="35"/>
      <c r="K547" s="54">
        <f t="shared" si="2"/>
        <v>0</v>
      </c>
      <c r="L547" s="54">
        <f t="shared" si="3"/>
        <v>0</v>
      </c>
    </row>
    <row r="548" spans="1:12" ht="13.5" customHeight="1">
      <c r="A548" s="65">
        <v>267149</v>
      </c>
      <c r="B548" s="57">
        <v>39169</v>
      </c>
      <c r="C548" s="60">
        <v>625000</v>
      </c>
      <c r="D548" s="58">
        <f>VLOOKUP(C548,Comptes!$A$2:$B$44,2,FALSE)</f>
        <v>0</v>
      </c>
      <c r="E548" s="60">
        <v>512000</v>
      </c>
      <c r="F548" s="58">
        <f>VLOOKUP(E548,Comptes!$A$2:$B$44,2,FALSE)</f>
        <v>0</v>
      </c>
      <c r="G548" s="59" t="s">
        <v>292</v>
      </c>
      <c r="H548" s="63" t="s">
        <v>279</v>
      </c>
      <c r="I548" s="61">
        <v>300</v>
      </c>
      <c r="J548" s="35"/>
      <c r="K548" s="54">
        <f t="shared" si="2"/>
        <v>0</v>
      </c>
      <c r="L548" s="54">
        <f t="shared" si="3"/>
        <v>0</v>
      </c>
    </row>
    <row r="549" spans="1:12" ht="13.5" customHeight="1">
      <c r="A549" s="65">
        <v>267150</v>
      </c>
      <c r="B549" s="57">
        <v>39169</v>
      </c>
      <c r="C549" s="60">
        <v>641000</v>
      </c>
      <c r="D549" s="58">
        <f>VLOOKUP(C549,Comptes!$A$2:$B$44,2,FALSE)</f>
        <v>0</v>
      </c>
      <c r="E549" s="59">
        <v>512000</v>
      </c>
      <c r="F549" s="58">
        <f>VLOOKUP(E549,Comptes!$A$2:$B$44,2,FALSE)</f>
        <v>0</v>
      </c>
      <c r="G549" s="36" t="s">
        <v>293</v>
      </c>
      <c r="H549" s="63" t="s">
        <v>279</v>
      </c>
      <c r="I549" s="61">
        <v>343.2</v>
      </c>
      <c r="J549" s="35"/>
      <c r="K549" s="54">
        <f t="shared" si="2"/>
        <v>0</v>
      </c>
      <c r="L549" s="54">
        <f t="shared" si="3"/>
        <v>0</v>
      </c>
    </row>
    <row r="550" spans="1:12" ht="13.5" customHeight="1">
      <c r="A550" s="65">
        <v>267150</v>
      </c>
      <c r="B550" s="57">
        <v>39169</v>
      </c>
      <c r="C550" s="60">
        <v>645000</v>
      </c>
      <c r="D550" s="58">
        <f>VLOOKUP(C550,Comptes!$A$2:$B$44,2,FALSE)</f>
        <v>0</v>
      </c>
      <c r="E550" s="59">
        <v>512000</v>
      </c>
      <c r="F550" s="58">
        <f>VLOOKUP(E550,Comptes!$A$2:$B$44,2,FALSE)</f>
        <v>0</v>
      </c>
      <c r="G550" s="59" t="s">
        <v>178</v>
      </c>
      <c r="H550" s="63" t="s">
        <v>294</v>
      </c>
      <c r="I550" s="61">
        <v>181</v>
      </c>
      <c r="J550" s="35"/>
      <c r="K550" s="54">
        <f t="shared" si="2"/>
        <v>0</v>
      </c>
      <c r="L550" s="54">
        <f t="shared" si="3"/>
        <v>0</v>
      </c>
    </row>
    <row r="551" spans="1:12" ht="13.5" customHeight="1">
      <c r="A551" s="65">
        <v>267151</v>
      </c>
      <c r="B551" s="57">
        <v>39170</v>
      </c>
      <c r="C551" s="60">
        <v>512000</v>
      </c>
      <c r="D551" s="58">
        <f>VLOOKUP(C551,Comptes!$A$2:$B$44,2,FALSE)</f>
        <v>0</v>
      </c>
      <c r="E551" s="59">
        <v>706230</v>
      </c>
      <c r="F551" s="58">
        <f>VLOOKUP(E551,Comptes!$A$2:$B$44,2,FALSE)</f>
        <v>0</v>
      </c>
      <c r="G551" s="59" t="s">
        <v>170</v>
      </c>
      <c r="H551" s="59" t="s">
        <v>276</v>
      </c>
      <c r="I551" s="61">
        <v>520</v>
      </c>
      <c r="J551" s="35"/>
      <c r="K551" s="54">
        <f t="shared" si="2"/>
        <v>0</v>
      </c>
      <c r="L551" s="54">
        <f t="shared" si="3"/>
        <v>0</v>
      </c>
    </row>
    <row r="552" spans="1:12" ht="13.5" customHeight="1">
      <c r="A552" s="65">
        <v>267151</v>
      </c>
      <c r="B552" s="57">
        <v>39170</v>
      </c>
      <c r="C552" s="60">
        <v>512000</v>
      </c>
      <c r="D552" s="58">
        <f>VLOOKUP(C552,Comptes!$A$2:$B$44,2,FALSE)</f>
        <v>0</v>
      </c>
      <c r="E552" s="59">
        <v>706210</v>
      </c>
      <c r="F552" s="58">
        <f>VLOOKUP(E552,Comptes!$A$2:$B$44,2,FALSE)</f>
        <v>0</v>
      </c>
      <c r="G552" s="59" t="s">
        <v>170</v>
      </c>
      <c r="H552" s="59" t="s">
        <v>276</v>
      </c>
      <c r="I552" s="61">
        <v>367</v>
      </c>
      <c r="J552" s="35"/>
      <c r="K552" s="54">
        <f t="shared" si="2"/>
        <v>0</v>
      </c>
      <c r="L552" s="54">
        <f t="shared" si="3"/>
        <v>0</v>
      </c>
    </row>
    <row r="553" spans="1:12" ht="13.5" customHeight="1">
      <c r="A553" s="65">
        <v>267151</v>
      </c>
      <c r="B553" s="57">
        <v>39170</v>
      </c>
      <c r="C553" s="60">
        <v>512000</v>
      </c>
      <c r="D553" s="58">
        <f>VLOOKUP(C553,Comptes!$A$2:$B$44,2,FALSE)</f>
        <v>0</v>
      </c>
      <c r="E553" s="59">
        <v>706100</v>
      </c>
      <c r="F553" s="58">
        <f>VLOOKUP(E553,Comptes!$A$2:$B$44,2,FALSE)</f>
        <v>0</v>
      </c>
      <c r="G553" s="59" t="s">
        <v>170</v>
      </c>
      <c r="H553" s="59" t="s">
        <v>276</v>
      </c>
      <c r="I553" s="61">
        <v>80</v>
      </c>
      <c r="J553" s="35"/>
      <c r="K553" s="54">
        <f t="shared" si="2"/>
        <v>0</v>
      </c>
      <c r="L553" s="54">
        <f t="shared" si="3"/>
        <v>0</v>
      </c>
    </row>
    <row r="554" spans="1:12" ht="13.5" customHeight="1">
      <c r="A554" s="65">
        <v>267151</v>
      </c>
      <c r="B554" s="57">
        <v>39170</v>
      </c>
      <c r="C554" s="60">
        <v>511200</v>
      </c>
      <c r="D554" s="58">
        <f>VLOOKUP(C554,Comptes!$A$2:$B$44,2,FALSE)</f>
        <v>0</v>
      </c>
      <c r="E554" s="59">
        <v>512000</v>
      </c>
      <c r="F554" s="58">
        <f>VLOOKUP(E554,Comptes!$A$2:$B$44,2,FALSE)</f>
        <v>0</v>
      </c>
      <c r="G554" s="59" t="s">
        <v>170</v>
      </c>
      <c r="H554" s="59" t="s">
        <v>276</v>
      </c>
      <c r="I554" s="61">
        <v>188</v>
      </c>
      <c r="J554" s="35"/>
      <c r="K554" s="54">
        <f t="shared" si="2"/>
        <v>0</v>
      </c>
      <c r="L554" s="54">
        <f t="shared" si="3"/>
        <v>1</v>
      </c>
    </row>
    <row r="555" spans="1:12" ht="13.5" customHeight="1">
      <c r="A555" s="65">
        <v>267151</v>
      </c>
      <c r="B555" s="57">
        <v>39170</v>
      </c>
      <c r="C555" s="60">
        <v>530000</v>
      </c>
      <c r="D555" s="58">
        <f>VLOOKUP(C555,Comptes!$A$2:$B$44,2,FALSE)</f>
        <v>0</v>
      </c>
      <c r="E555" s="59">
        <v>706230</v>
      </c>
      <c r="F555" s="58">
        <f>VLOOKUP(E555,Comptes!$A$2:$B$44,2,FALSE)</f>
        <v>0</v>
      </c>
      <c r="G555" s="59"/>
      <c r="H555" s="63"/>
      <c r="I555" s="61">
        <v>150</v>
      </c>
      <c r="J555" s="35"/>
      <c r="K555" s="54">
        <f t="shared" si="2"/>
        <v>1</v>
      </c>
      <c r="L555" s="54">
        <f t="shared" si="3"/>
        <v>0</v>
      </c>
    </row>
    <row r="556" spans="1:12" ht="13.5" customHeight="1">
      <c r="A556" s="65">
        <v>267151</v>
      </c>
      <c r="B556" s="57">
        <v>39170</v>
      </c>
      <c r="C556" s="60">
        <v>530000</v>
      </c>
      <c r="D556" s="58">
        <f>VLOOKUP(C556,Comptes!$A$2:$B$44,2,FALSE)</f>
        <v>0</v>
      </c>
      <c r="E556" s="59">
        <v>706210</v>
      </c>
      <c r="F556" s="58">
        <f>VLOOKUP(E556,Comptes!$A$2:$B$44,2,FALSE)</f>
        <v>0</v>
      </c>
      <c r="G556" s="59"/>
      <c r="H556" s="63"/>
      <c r="I556" s="61">
        <v>102</v>
      </c>
      <c r="J556" s="35"/>
      <c r="K556" s="54">
        <f t="shared" si="2"/>
        <v>1</v>
      </c>
      <c r="L556" s="54">
        <f t="shared" si="3"/>
        <v>0</v>
      </c>
    </row>
    <row r="557" spans="1:12" ht="13.5" customHeight="1">
      <c r="A557" s="65">
        <v>267151</v>
      </c>
      <c r="B557" s="57">
        <v>39170</v>
      </c>
      <c r="C557" s="60">
        <v>530000</v>
      </c>
      <c r="D557" s="58">
        <f>VLOOKUP(C557,Comptes!$A$2:$B$44,2,FALSE)</f>
        <v>0</v>
      </c>
      <c r="E557" s="59">
        <v>706230</v>
      </c>
      <c r="F557" s="58">
        <f>VLOOKUP(E557,Comptes!$A$2:$B$44,2,FALSE)</f>
        <v>0</v>
      </c>
      <c r="G557" s="59"/>
      <c r="H557" s="63"/>
      <c r="I557" s="61">
        <v>5</v>
      </c>
      <c r="J557" s="35"/>
      <c r="K557" s="54">
        <f t="shared" si="2"/>
        <v>1</v>
      </c>
      <c r="L557" s="54">
        <f t="shared" si="3"/>
        <v>0</v>
      </c>
    </row>
    <row r="558" spans="1:12" ht="13.5" customHeight="1">
      <c r="A558" s="65">
        <v>267152</v>
      </c>
      <c r="B558" s="57">
        <v>39171</v>
      </c>
      <c r="C558" s="60">
        <v>606400</v>
      </c>
      <c r="D558" s="58">
        <f>VLOOKUP(C558,Comptes!$A$2:$B$44,2,FALSE)</f>
        <v>0</v>
      </c>
      <c r="E558" s="59">
        <v>530000</v>
      </c>
      <c r="F558" s="58">
        <f>VLOOKUP(E558,Comptes!$A$2:$B$44,2,FALSE)</f>
        <v>0</v>
      </c>
      <c r="G558" s="59"/>
      <c r="H558" s="63"/>
      <c r="I558" s="61">
        <v>134.12</v>
      </c>
      <c r="J558" s="35"/>
      <c r="K558" s="54">
        <f t="shared" si="2"/>
        <v>1</v>
      </c>
      <c r="L558" s="54">
        <f t="shared" si="3"/>
        <v>0</v>
      </c>
    </row>
    <row r="559" spans="1:12" ht="13.5" customHeight="1">
      <c r="A559" s="65">
        <v>267153</v>
      </c>
      <c r="B559" s="57">
        <v>39171</v>
      </c>
      <c r="C559" s="60">
        <v>606700</v>
      </c>
      <c r="D559" s="58">
        <f>VLOOKUP(C559,Comptes!$A$2:$B$44,2,FALSE)</f>
        <v>0</v>
      </c>
      <c r="E559" s="59">
        <v>530000</v>
      </c>
      <c r="F559" s="58">
        <f>VLOOKUP(E559,Comptes!$A$2:$B$44,2,FALSE)</f>
        <v>0</v>
      </c>
      <c r="G559" s="59"/>
      <c r="H559" s="63"/>
      <c r="I559" s="61">
        <v>204.3</v>
      </c>
      <c r="J559" s="35"/>
      <c r="K559" s="54">
        <f t="shared" si="2"/>
        <v>1</v>
      </c>
      <c r="L559" s="54">
        <f t="shared" si="3"/>
        <v>0</v>
      </c>
    </row>
    <row r="560" spans="1:12" ht="13.5" customHeight="1">
      <c r="A560" s="65">
        <v>267153</v>
      </c>
      <c r="B560" s="57">
        <v>39171</v>
      </c>
      <c r="C560" s="60">
        <v>615000</v>
      </c>
      <c r="D560" s="58">
        <f>VLOOKUP(C560,Comptes!$A$2:$B$44,2,FALSE)</f>
        <v>0</v>
      </c>
      <c r="E560" s="59">
        <v>530000</v>
      </c>
      <c r="F560" s="58">
        <f>VLOOKUP(E560,Comptes!$A$2:$B$44,2,FALSE)</f>
        <v>0</v>
      </c>
      <c r="G560" s="59"/>
      <c r="H560" s="63"/>
      <c r="I560" s="61">
        <v>64.65</v>
      </c>
      <c r="J560" s="35"/>
      <c r="K560" s="54">
        <f t="shared" si="2"/>
        <v>1</v>
      </c>
      <c r="L560" s="54">
        <f t="shared" si="3"/>
        <v>0</v>
      </c>
    </row>
    <row r="561" spans="1:12" ht="13.5" customHeight="1">
      <c r="A561" s="65">
        <v>267153</v>
      </c>
      <c r="B561" s="57">
        <v>39171</v>
      </c>
      <c r="C561" s="60">
        <v>626000</v>
      </c>
      <c r="D561" s="58">
        <f>VLOOKUP(C561,Comptes!$A$2:$B$44,2,FALSE)</f>
        <v>0</v>
      </c>
      <c r="E561" s="59">
        <v>530000</v>
      </c>
      <c r="F561" s="58">
        <f>VLOOKUP(E561,Comptes!$A$2:$B$44,2,FALSE)</f>
        <v>0</v>
      </c>
      <c r="G561" s="59"/>
      <c r="H561" s="63"/>
      <c r="I561" s="61">
        <v>33.3</v>
      </c>
      <c r="J561" s="35"/>
      <c r="K561" s="54">
        <f t="shared" si="2"/>
        <v>1</v>
      </c>
      <c r="L561" s="54">
        <f t="shared" si="3"/>
        <v>0</v>
      </c>
    </row>
    <row r="562" spans="1:12" ht="13.5" customHeight="1">
      <c r="A562" s="65">
        <v>267154</v>
      </c>
      <c r="B562" s="57">
        <v>39170</v>
      </c>
      <c r="C562" s="60">
        <v>512000</v>
      </c>
      <c r="D562" s="58">
        <f>VLOOKUP(C562,Comptes!$A$2:$B$44,2,FALSE)</f>
        <v>0</v>
      </c>
      <c r="E562" s="59">
        <v>706100</v>
      </c>
      <c r="F562" s="58">
        <f>VLOOKUP(E562,Comptes!$A$2:$B$44,2,FALSE)</f>
        <v>0</v>
      </c>
      <c r="G562" s="59" t="s">
        <v>170</v>
      </c>
      <c r="H562" s="59" t="s">
        <v>276</v>
      </c>
      <c r="I562" s="61">
        <v>385</v>
      </c>
      <c r="J562" s="35"/>
      <c r="K562" s="54">
        <f t="shared" si="2"/>
        <v>0</v>
      </c>
      <c r="L562" s="54">
        <f t="shared" si="3"/>
        <v>0</v>
      </c>
    </row>
    <row r="563" spans="1:12" ht="13.5" customHeight="1">
      <c r="A563" s="65">
        <v>267154</v>
      </c>
      <c r="B563" s="57">
        <v>39170</v>
      </c>
      <c r="C563" s="60">
        <v>512000</v>
      </c>
      <c r="D563" s="58">
        <f>VLOOKUP(C563,Comptes!$A$2:$B$44,2,FALSE)</f>
        <v>0</v>
      </c>
      <c r="E563" s="59">
        <v>706420</v>
      </c>
      <c r="F563" s="58">
        <f>VLOOKUP(E563,Comptes!$A$2:$B$44,2,FALSE)</f>
        <v>0</v>
      </c>
      <c r="G563" s="59" t="s">
        <v>170</v>
      </c>
      <c r="H563" s="59" t="s">
        <v>276</v>
      </c>
      <c r="I563" s="61">
        <v>720</v>
      </c>
      <c r="J563" s="35"/>
      <c r="K563" s="54">
        <f t="shared" si="2"/>
        <v>0</v>
      </c>
      <c r="L563" s="54">
        <f t="shared" si="3"/>
        <v>0</v>
      </c>
    </row>
    <row r="564" spans="1:12" ht="13.5" customHeight="1">
      <c r="A564" s="65">
        <v>267154</v>
      </c>
      <c r="B564" s="57">
        <v>39170</v>
      </c>
      <c r="C564" s="60">
        <v>512000</v>
      </c>
      <c r="D564" s="58">
        <f>VLOOKUP(C564,Comptes!$A$2:$B$44,2,FALSE)</f>
        <v>0</v>
      </c>
      <c r="E564" s="59">
        <v>756000</v>
      </c>
      <c r="F564" s="58">
        <f>VLOOKUP(E564,Comptes!$A$2:$B$44,2,FALSE)</f>
        <v>0</v>
      </c>
      <c r="G564" s="59" t="s">
        <v>170</v>
      </c>
      <c r="H564" s="59" t="s">
        <v>276</v>
      </c>
      <c r="I564" s="61">
        <v>96</v>
      </c>
      <c r="J564" s="35"/>
      <c r="K564" s="54">
        <f t="shared" si="2"/>
        <v>0</v>
      </c>
      <c r="L564" s="54">
        <f t="shared" si="3"/>
        <v>0</v>
      </c>
    </row>
    <row r="565" spans="1:12" ht="13.5" customHeight="1">
      <c r="A565" s="65">
        <v>267154</v>
      </c>
      <c r="B565" s="57">
        <v>39170</v>
      </c>
      <c r="C565" s="60">
        <v>512000</v>
      </c>
      <c r="D565" s="58">
        <f>VLOOKUP(C565,Comptes!$A$2:$B$44,2,FALSE)</f>
        <v>0</v>
      </c>
      <c r="E565" s="59">
        <v>706100</v>
      </c>
      <c r="F565" s="58">
        <f>VLOOKUP(E565,Comptes!$A$2:$B$44,2,FALSE)</f>
        <v>0</v>
      </c>
      <c r="G565" s="59" t="s">
        <v>164</v>
      </c>
      <c r="H565" s="59" t="s">
        <v>276</v>
      </c>
      <c r="I565" s="61">
        <v>260</v>
      </c>
      <c r="J565" s="35"/>
      <c r="K565" s="54">
        <f t="shared" si="2"/>
        <v>0</v>
      </c>
      <c r="L565" s="54">
        <f t="shared" si="3"/>
        <v>0</v>
      </c>
    </row>
    <row r="566" spans="1:12" ht="13.5" customHeight="1">
      <c r="A566" s="65">
        <v>267154</v>
      </c>
      <c r="B566" s="57">
        <v>39170</v>
      </c>
      <c r="C566" s="60">
        <v>512000</v>
      </c>
      <c r="D566" s="58">
        <f>VLOOKUP(C566,Comptes!$A$2:$B$44,2,FALSE)</f>
        <v>0</v>
      </c>
      <c r="E566" s="59">
        <v>706420</v>
      </c>
      <c r="F566" s="58">
        <f>VLOOKUP(E566,Comptes!$A$2:$B$44,2,FALSE)</f>
        <v>0</v>
      </c>
      <c r="G566" s="59" t="s">
        <v>164</v>
      </c>
      <c r="H566" s="59" t="s">
        <v>276</v>
      </c>
      <c r="I566" s="61">
        <v>70</v>
      </c>
      <c r="J566" s="35"/>
      <c r="K566" s="54">
        <f t="shared" si="2"/>
        <v>0</v>
      </c>
      <c r="L566" s="54">
        <f t="shared" si="3"/>
        <v>0</v>
      </c>
    </row>
    <row r="567" spans="1:12" ht="13.5" customHeight="1">
      <c r="A567" s="65">
        <v>267155</v>
      </c>
      <c r="B567" s="57">
        <v>39173</v>
      </c>
      <c r="C567" s="60">
        <v>512000</v>
      </c>
      <c r="D567" s="58">
        <f>VLOOKUP(C567,Comptes!$A$2:$B$44,2,FALSE)</f>
        <v>0</v>
      </c>
      <c r="E567" s="59">
        <v>754000</v>
      </c>
      <c r="F567" s="58">
        <f>VLOOKUP(E567,Comptes!$A$2:$B$44,2,FALSE)</f>
        <v>0</v>
      </c>
      <c r="G567" s="59" t="s">
        <v>170</v>
      </c>
      <c r="H567" s="63" t="s">
        <v>279</v>
      </c>
      <c r="I567" s="61">
        <v>20</v>
      </c>
      <c r="J567" s="35"/>
      <c r="K567" s="54">
        <f t="shared" si="2"/>
        <v>0</v>
      </c>
      <c r="L567" s="54">
        <f t="shared" si="3"/>
        <v>0</v>
      </c>
    </row>
    <row r="568" spans="1:12" ht="13.5" customHeight="1">
      <c r="A568" s="65">
        <v>267155</v>
      </c>
      <c r="B568" s="57">
        <v>39173</v>
      </c>
      <c r="C568" s="60">
        <v>512000</v>
      </c>
      <c r="D568" s="58">
        <f>VLOOKUP(C568,Comptes!$A$2:$B$44,2,FALSE)</f>
        <v>0</v>
      </c>
      <c r="E568" s="59">
        <v>706230</v>
      </c>
      <c r="F568" s="58">
        <f>VLOOKUP(E568,Comptes!$A$2:$B$44,2,FALSE)</f>
        <v>0</v>
      </c>
      <c r="G568" s="59" t="s">
        <v>170</v>
      </c>
      <c r="H568" s="63" t="s">
        <v>279</v>
      </c>
      <c r="I568" s="61">
        <v>1705</v>
      </c>
      <c r="J568" s="35"/>
      <c r="K568" s="54">
        <f t="shared" si="2"/>
        <v>0</v>
      </c>
      <c r="L568" s="54">
        <f t="shared" si="3"/>
        <v>0</v>
      </c>
    </row>
    <row r="569" spans="1:12" ht="13.5" customHeight="1">
      <c r="A569" s="65">
        <v>267155</v>
      </c>
      <c r="B569" s="57">
        <v>39173</v>
      </c>
      <c r="C569" s="60">
        <v>512000</v>
      </c>
      <c r="D569" s="58">
        <f>VLOOKUP(C569,Comptes!$A$2:$B$44,2,FALSE)</f>
        <v>0</v>
      </c>
      <c r="E569" s="59">
        <v>706210</v>
      </c>
      <c r="F569" s="58">
        <f>VLOOKUP(E569,Comptes!$A$2:$B$44,2,FALSE)</f>
        <v>0</v>
      </c>
      <c r="G569" s="59" t="s">
        <v>170</v>
      </c>
      <c r="H569" s="63" t="s">
        <v>279</v>
      </c>
      <c r="I569" s="61">
        <v>438</v>
      </c>
      <c r="J569" s="35"/>
      <c r="K569" s="54">
        <f t="shared" si="2"/>
        <v>0</v>
      </c>
      <c r="L569" s="54">
        <f t="shared" si="3"/>
        <v>0</v>
      </c>
    </row>
    <row r="570" spans="1:12" ht="13.5" customHeight="1">
      <c r="A570" s="65">
        <v>267155</v>
      </c>
      <c r="B570" s="57">
        <v>39173</v>
      </c>
      <c r="C570" s="60">
        <v>512000</v>
      </c>
      <c r="D570" s="58">
        <f>VLOOKUP(C570,Comptes!$A$2:$B$44,2,FALSE)</f>
        <v>0</v>
      </c>
      <c r="E570" s="59">
        <v>706220</v>
      </c>
      <c r="F570" s="58">
        <f>VLOOKUP(E570,Comptes!$A$2:$B$44,2,FALSE)</f>
        <v>0</v>
      </c>
      <c r="G570" s="59" t="s">
        <v>170</v>
      </c>
      <c r="H570" s="63" t="s">
        <v>279</v>
      </c>
      <c r="I570" s="61">
        <v>270</v>
      </c>
      <c r="J570" s="35"/>
      <c r="K570" s="54">
        <f t="shared" si="2"/>
        <v>0</v>
      </c>
      <c r="L570" s="54">
        <f t="shared" si="3"/>
        <v>0</v>
      </c>
    </row>
    <row r="571" spans="1:12" ht="13.5" customHeight="1">
      <c r="A571" s="65">
        <v>267155</v>
      </c>
      <c r="B571" s="57">
        <v>39173</v>
      </c>
      <c r="C571" s="60">
        <v>512000</v>
      </c>
      <c r="D571" s="58">
        <f>VLOOKUP(C571,Comptes!$A$2:$B$44,2,FALSE)</f>
        <v>0</v>
      </c>
      <c r="E571" s="59">
        <v>756000</v>
      </c>
      <c r="F571" s="58">
        <f>VLOOKUP(E571,Comptes!$A$2:$B$44,2,FALSE)</f>
        <v>0</v>
      </c>
      <c r="G571" s="59" t="s">
        <v>170</v>
      </c>
      <c r="H571" s="63" t="s">
        <v>279</v>
      </c>
      <c r="I571" s="61">
        <v>20</v>
      </c>
      <c r="J571" s="35"/>
      <c r="K571" s="54">
        <f t="shared" si="2"/>
        <v>0</v>
      </c>
      <c r="L571" s="54">
        <f t="shared" si="3"/>
        <v>0</v>
      </c>
    </row>
    <row r="572" spans="1:12" ht="13.5" customHeight="1">
      <c r="A572" s="65">
        <v>267155</v>
      </c>
      <c r="B572" s="57">
        <v>39173</v>
      </c>
      <c r="C572" s="60">
        <v>512000</v>
      </c>
      <c r="D572" s="58">
        <f>VLOOKUP(C572,Comptes!$A$2:$B$44,2,FALSE)</f>
        <v>0</v>
      </c>
      <c r="E572" s="59">
        <v>706210</v>
      </c>
      <c r="F572" s="58">
        <f>VLOOKUP(E572,Comptes!$A$2:$B$44,2,FALSE)</f>
        <v>0</v>
      </c>
      <c r="G572" s="59" t="s">
        <v>170</v>
      </c>
      <c r="H572" s="63" t="s">
        <v>279</v>
      </c>
      <c r="I572" s="61">
        <v>7</v>
      </c>
      <c r="J572" s="35"/>
      <c r="K572" s="54">
        <f t="shared" si="2"/>
        <v>0</v>
      </c>
      <c r="L572" s="54">
        <f t="shared" si="3"/>
        <v>0</v>
      </c>
    </row>
    <row r="573" spans="1:12" ht="13.5" customHeight="1">
      <c r="A573" s="65">
        <v>267155</v>
      </c>
      <c r="B573" s="57">
        <v>39173</v>
      </c>
      <c r="C573" s="60">
        <v>512000</v>
      </c>
      <c r="D573" s="58">
        <f>VLOOKUP(C573,Comptes!$A$2:$B$44,2,FALSE)</f>
        <v>0</v>
      </c>
      <c r="E573" s="59">
        <v>706220</v>
      </c>
      <c r="F573" s="58">
        <f>VLOOKUP(E573,Comptes!$A$2:$B$44,2,FALSE)</f>
        <v>0</v>
      </c>
      <c r="G573" s="59" t="s">
        <v>170</v>
      </c>
      <c r="H573" s="63" t="s">
        <v>279</v>
      </c>
      <c r="I573" s="61">
        <v>56</v>
      </c>
      <c r="J573" s="35"/>
      <c r="K573" s="54">
        <f t="shared" si="2"/>
        <v>0</v>
      </c>
      <c r="L573" s="54">
        <f t="shared" si="3"/>
        <v>0</v>
      </c>
    </row>
    <row r="574" spans="1:12" ht="13.5" customHeight="1">
      <c r="A574" s="65">
        <v>267155</v>
      </c>
      <c r="B574" s="57">
        <v>39173</v>
      </c>
      <c r="C574" s="60">
        <v>512000</v>
      </c>
      <c r="D574" s="58">
        <f>VLOOKUP(C574,Comptes!$A$2:$B$44,2,FALSE)</f>
        <v>0</v>
      </c>
      <c r="E574" s="59">
        <v>756000</v>
      </c>
      <c r="F574" s="58">
        <f>VLOOKUP(E574,Comptes!$A$2:$B$44,2,FALSE)</f>
        <v>0</v>
      </c>
      <c r="G574" s="59" t="s">
        <v>170</v>
      </c>
      <c r="H574" s="63" t="s">
        <v>279</v>
      </c>
      <c r="I574" s="61">
        <v>32</v>
      </c>
      <c r="J574" s="35"/>
      <c r="K574" s="54">
        <f t="shared" si="2"/>
        <v>0</v>
      </c>
      <c r="L574" s="54">
        <f t="shared" si="3"/>
        <v>0</v>
      </c>
    </row>
    <row r="575" spans="1:12" ht="13.5" customHeight="1">
      <c r="A575" s="65">
        <v>267155</v>
      </c>
      <c r="B575" s="57">
        <v>39173</v>
      </c>
      <c r="C575" s="60">
        <v>512000</v>
      </c>
      <c r="D575" s="58">
        <f>VLOOKUP(C575,Comptes!$A$2:$B$44,2,FALSE)</f>
        <v>0</v>
      </c>
      <c r="E575" s="59">
        <v>708000</v>
      </c>
      <c r="F575" s="58">
        <f>VLOOKUP(E575,Comptes!$A$2:$B$44,2,FALSE)</f>
        <v>0</v>
      </c>
      <c r="G575" s="59" t="s">
        <v>170</v>
      </c>
      <c r="H575" s="63" t="s">
        <v>279</v>
      </c>
      <c r="I575" s="61">
        <v>9</v>
      </c>
      <c r="J575" s="35"/>
      <c r="K575" s="54">
        <f t="shared" si="2"/>
        <v>0</v>
      </c>
      <c r="L575" s="54">
        <f t="shared" si="3"/>
        <v>0</v>
      </c>
    </row>
    <row r="576" spans="1:12" ht="13.5" customHeight="1">
      <c r="A576" s="65">
        <v>267155</v>
      </c>
      <c r="B576" s="57">
        <v>39173</v>
      </c>
      <c r="C576" s="60">
        <v>512000</v>
      </c>
      <c r="D576" s="58">
        <f>VLOOKUP(C576,Comptes!$A$2:$B$44,2,FALSE)</f>
        <v>0</v>
      </c>
      <c r="E576" s="60">
        <v>511200</v>
      </c>
      <c r="F576" s="58">
        <f>VLOOKUP(E576,Comptes!$A$2:$B$44,2,FALSE)</f>
        <v>0</v>
      </c>
      <c r="G576" s="59" t="s">
        <v>170</v>
      </c>
      <c r="H576" s="63" t="s">
        <v>279</v>
      </c>
      <c r="I576" s="61">
        <v>49</v>
      </c>
      <c r="J576" s="53"/>
      <c r="K576" s="54">
        <f t="shared" si="2"/>
        <v>0</v>
      </c>
      <c r="L576" s="54">
        <f t="shared" si="3"/>
        <v>1</v>
      </c>
    </row>
    <row r="577" spans="1:12" ht="13.5" customHeight="1">
      <c r="A577" s="65">
        <v>267155</v>
      </c>
      <c r="B577" s="57">
        <v>39173</v>
      </c>
      <c r="C577" s="60">
        <v>530000</v>
      </c>
      <c r="D577" s="58">
        <f>VLOOKUP(C577,Comptes!$A$2:$B$44,2,FALSE)</f>
        <v>0</v>
      </c>
      <c r="E577" s="59">
        <v>706230</v>
      </c>
      <c r="F577" s="58">
        <f>VLOOKUP(E577,Comptes!$A$2:$B$44,2,FALSE)</f>
        <v>0</v>
      </c>
      <c r="G577" s="59"/>
      <c r="H577" s="63"/>
      <c r="I577" s="61">
        <v>535</v>
      </c>
      <c r="J577" s="35"/>
      <c r="K577" s="54">
        <f t="shared" si="2"/>
        <v>1</v>
      </c>
      <c r="L577" s="54">
        <f t="shared" si="3"/>
        <v>0</v>
      </c>
    </row>
    <row r="578" spans="1:12" ht="13.5" customHeight="1">
      <c r="A578" s="65">
        <v>267155</v>
      </c>
      <c r="B578" s="57">
        <v>39173</v>
      </c>
      <c r="C578" s="60">
        <v>530000</v>
      </c>
      <c r="D578" s="58">
        <f>VLOOKUP(C578,Comptes!$A$2:$B$44,2,FALSE)</f>
        <v>0</v>
      </c>
      <c r="E578" s="59">
        <v>706210</v>
      </c>
      <c r="F578" s="58">
        <f>VLOOKUP(E578,Comptes!$A$2:$B$44,2,FALSE)</f>
        <v>0</v>
      </c>
      <c r="G578" s="59"/>
      <c r="H578" s="63"/>
      <c r="I578" s="61">
        <v>136</v>
      </c>
      <c r="J578" s="35"/>
      <c r="K578" s="54">
        <f t="shared" si="2"/>
        <v>1</v>
      </c>
      <c r="L578" s="54">
        <f t="shared" si="3"/>
        <v>0</v>
      </c>
    </row>
    <row r="579" spans="1:12" ht="13.5" customHeight="1">
      <c r="A579" s="65">
        <v>267155</v>
      </c>
      <c r="B579" s="57">
        <v>39173</v>
      </c>
      <c r="C579" s="60">
        <v>530000</v>
      </c>
      <c r="D579" s="58">
        <f>VLOOKUP(C579,Comptes!$A$2:$B$44,2,FALSE)</f>
        <v>0</v>
      </c>
      <c r="E579" s="59">
        <v>706220</v>
      </c>
      <c r="F579" s="58">
        <f>VLOOKUP(E579,Comptes!$A$2:$B$44,2,FALSE)</f>
        <v>0</v>
      </c>
      <c r="G579" s="59"/>
      <c r="H579" s="63"/>
      <c r="I579" s="61">
        <v>152</v>
      </c>
      <c r="J579" s="35"/>
      <c r="K579" s="54">
        <f t="shared" si="2"/>
        <v>1</v>
      </c>
      <c r="L579" s="54">
        <f t="shared" si="3"/>
        <v>0</v>
      </c>
    </row>
    <row r="580" spans="1:12" ht="13.5" customHeight="1">
      <c r="A580" s="65">
        <v>267155</v>
      </c>
      <c r="B580" s="57">
        <v>39173</v>
      </c>
      <c r="C580" s="60">
        <v>530000</v>
      </c>
      <c r="D580" s="58">
        <f>VLOOKUP(C580,Comptes!$A$2:$B$44,2,FALSE)</f>
        <v>0</v>
      </c>
      <c r="E580" s="59">
        <v>706220</v>
      </c>
      <c r="F580" s="58">
        <f>VLOOKUP(E580,Comptes!$A$2:$B$44,2,FALSE)</f>
        <v>0</v>
      </c>
      <c r="G580" s="59"/>
      <c r="H580" s="63"/>
      <c r="I580" s="61">
        <v>77</v>
      </c>
      <c r="J580" s="35"/>
      <c r="K580" s="54">
        <f t="shared" si="2"/>
        <v>1</v>
      </c>
      <c r="L580" s="54">
        <f t="shared" si="3"/>
        <v>0</v>
      </c>
    </row>
    <row r="581" spans="1:12" ht="13.5" customHeight="1">
      <c r="A581" s="65">
        <v>267155</v>
      </c>
      <c r="B581" s="57">
        <v>39173</v>
      </c>
      <c r="C581" s="60">
        <v>530000</v>
      </c>
      <c r="D581" s="58">
        <f>VLOOKUP(C581,Comptes!$A$2:$B$44,2,FALSE)</f>
        <v>0</v>
      </c>
      <c r="E581" s="59">
        <v>756000</v>
      </c>
      <c r="F581" s="58">
        <f>VLOOKUP(E581,Comptes!$A$2:$B$44,2,FALSE)</f>
        <v>0</v>
      </c>
      <c r="G581" s="59"/>
      <c r="H581" s="63"/>
      <c r="I581" s="61">
        <v>32</v>
      </c>
      <c r="J581" s="35"/>
      <c r="K581" s="54">
        <f t="shared" si="2"/>
        <v>1</v>
      </c>
      <c r="L581" s="54">
        <f t="shared" si="3"/>
        <v>0</v>
      </c>
    </row>
    <row r="582" spans="1:12" ht="13.5" customHeight="1">
      <c r="A582" s="65">
        <v>267155</v>
      </c>
      <c r="B582" s="57">
        <v>39173</v>
      </c>
      <c r="C582" s="60">
        <v>530000</v>
      </c>
      <c r="D582" s="58">
        <f>VLOOKUP(C582,Comptes!$A$2:$B$44,2,FALSE)</f>
        <v>0</v>
      </c>
      <c r="E582" s="59">
        <v>708000</v>
      </c>
      <c r="F582" s="58">
        <f>VLOOKUP(E582,Comptes!$A$2:$B$44,2,FALSE)</f>
        <v>0</v>
      </c>
      <c r="G582" s="59"/>
      <c r="H582" s="63"/>
      <c r="I582" s="61">
        <v>9</v>
      </c>
      <c r="J582" s="35"/>
      <c r="K582" s="54">
        <f t="shared" si="2"/>
        <v>1</v>
      </c>
      <c r="L582" s="54">
        <f t="shared" si="3"/>
        <v>0</v>
      </c>
    </row>
    <row r="583" spans="1:12" ht="13.5" customHeight="1">
      <c r="A583" s="65">
        <v>267155</v>
      </c>
      <c r="B583" s="57">
        <v>39173</v>
      </c>
      <c r="C583" s="60">
        <v>622600</v>
      </c>
      <c r="D583" s="58">
        <f>VLOOKUP(C583,Comptes!$A$2:$B$44,2,FALSE)</f>
        <v>0</v>
      </c>
      <c r="E583" s="59">
        <v>512000</v>
      </c>
      <c r="F583" s="58">
        <f>VLOOKUP(E583,Comptes!$A$2:$B$44,2,FALSE)</f>
        <v>0</v>
      </c>
      <c r="G583" s="59" t="s">
        <v>295</v>
      </c>
      <c r="H583" s="63" t="s">
        <v>279</v>
      </c>
      <c r="I583" s="61">
        <v>1568</v>
      </c>
      <c r="J583" s="35" t="s">
        <v>296</v>
      </c>
      <c r="K583" s="54">
        <f t="shared" si="2"/>
        <v>0</v>
      </c>
      <c r="L583" s="54">
        <f t="shared" si="3"/>
        <v>0</v>
      </c>
    </row>
    <row r="584" spans="1:12" ht="13.5" customHeight="1">
      <c r="A584" s="65">
        <v>267156</v>
      </c>
      <c r="B584" s="57">
        <v>39163</v>
      </c>
      <c r="C584" s="60">
        <v>512000</v>
      </c>
      <c r="D584" s="58">
        <f>VLOOKUP(C584,Comptes!$A$2:$B$44,2,FALSE)</f>
        <v>0</v>
      </c>
      <c r="E584" s="59">
        <v>754000</v>
      </c>
      <c r="F584" s="58">
        <f>VLOOKUP(E584,Comptes!$A$2:$B$44,2,FALSE)</f>
        <v>0</v>
      </c>
      <c r="G584" s="59" t="s">
        <v>171</v>
      </c>
      <c r="H584" s="59" t="s">
        <v>276</v>
      </c>
      <c r="I584" s="61">
        <v>15</v>
      </c>
      <c r="J584" s="35"/>
      <c r="K584" s="54">
        <f t="shared" si="2"/>
        <v>0</v>
      </c>
      <c r="L584" s="54">
        <f t="shared" si="3"/>
        <v>0</v>
      </c>
    </row>
    <row r="585" spans="1:12" ht="13.5" customHeight="1">
      <c r="A585" s="65">
        <v>267157</v>
      </c>
      <c r="B585" s="57">
        <v>39176</v>
      </c>
      <c r="C585" s="60">
        <v>606700</v>
      </c>
      <c r="D585" s="58">
        <f>VLOOKUP(C585,Comptes!$A$2:$B$44,2,FALSE)</f>
        <v>0</v>
      </c>
      <c r="E585" s="62">
        <v>530000</v>
      </c>
      <c r="F585" s="58">
        <f>VLOOKUP(E585,Comptes!$A$2:$B$44,2,FALSE)</f>
        <v>0</v>
      </c>
      <c r="G585" s="59"/>
      <c r="H585" s="59"/>
      <c r="I585" s="61">
        <v>35.93</v>
      </c>
      <c r="J585" s="67"/>
      <c r="K585" s="54">
        <f t="shared" si="2"/>
        <v>1</v>
      </c>
      <c r="L585" s="54">
        <f t="shared" si="3"/>
        <v>0</v>
      </c>
    </row>
    <row r="586" spans="1:12" ht="13.5" customHeight="1">
      <c r="A586" s="65">
        <v>267158</v>
      </c>
      <c r="B586" s="57">
        <v>39176</v>
      </c>
      <c r="C586" s="60">
        <v>606700</v>
      </c>
      <c r="D586" s="58">
        <f>VLOOKUP(C586,Comptes!$A$2:$B$44,2,FALSE)</f>
        <v>0</v>
      </c>
      <c r="E586" s="62">
        <v>512000</v>
      </c>
      <c r="F586" s="58">
        <f>VLOOKUP(E586,Comptes!$A$2:$B$44,2,FALSE)</f>
        <v>0</v>
      </c>
      <c r="G586" s="59" t="s">
        <v>297</v>
      </c>
      <c r="H586" s="63" t="s">
        <v>279</v>
      </c>
      <c r="I586" s="61">
        <v>45.54</v>
      </c>
      <c r="J586" s="66"/>
      <c r="K586" s="54">
        <f t="shared" si="2"/>
        <v>0</v>
      </c>
      <c r="L586" s="54">
        <f t="shared" si="3"/>
        <v>0</v>
      </c>
    </row>
    <row r="587" spans="1:12" ht="13.5" customHeight="1">
      <c r="A587" s="65">
        <v>267159</v>
      </c>
      <c r="B587" s="57">
        <v>39176</v>
      </c>
      <c r="C587" s="60">
        <v>606700</v>
      </c>
      <c r="D587" s="58">
        <f>VLOOKUP(C587,Comptes!$A$2:$B$44,2,FALSE)</f>
        <v>0</v>
      </c>
      <c r="E587" s="62">
        <v>530000</v>
      </c>
      <c r="F587" s="58">
        <f>VLOOKUP(E587,Comptes!$A$2:$B$44,2,FALSE)</f>
        <v>0</v>
      </c>
      <c r="G587" s="59"/>
      <c r="H587" s="59"/>
      <c r="I587" s="61">
        <f>323.61+120.36+8.4+43.08</f>
        <v>495.45</v>
      </c>
      <c r="J587" s="66"/>
      <c r="K587" s="54">
        <f t="shared" si="2"/>
        <v>1</v>
      </c>
      <c r="L587" s="54">
        <f t="shared" si="3"/>
        <v>0</v>
      </c>
    </row>
    <row r="588" spans="1:12" ht="13.5" customHeight="1">
      <c r="A588" s="65">
        <v>267160</v>
      </c>
      <c r="B588" s="57">
        <v>39177</v>
      </c>
      <c r="C588" s="60">
        <v>512000</v>
      </c>
      <c r="D588" s="58">
        <f>VLOOKUP(C588,Comptes!$A$2:$B$44,2,FALSE)</f>
        <v>0</v>
      </c>
      <c r="E588" s="62">
        <v>606110</v>
      </c>
      <c r="F588" s="58">
        <f>VLOOKUP(E588,Comptes!$A$2:$B$44,2,FALSE)</f>
        <v>0</v>
      </c>
      <c r="G588" s="59" t="s">
        <v>178</v>
      </c>
      <c r="H588" s="63" t="s">
        <v>298</v>
      </c>
      <c r="I588" s="61">
        <v>65.84</v>
      </c>
      <c r="J588" s="66" t="s">
        <v>299</v>
      </c>
      <c r="K588" s="54">
        <f t="shared" si="2"/>
        <v>0</v>
      </c>
      <c r="L588" s="54">
        <f t="shared" si="3"/>
        <v>0</v>
      </c>
    </row>
    <row r="589" spans="1:12" ht="13.5" customHeight="1">
      <c r="A589" s="65">
        <v>267161</v>
      </c>
      <c r="B589" s="57">
        <v>39189</v>
      </c>
      <c r="C589" s="60">
        <v>606110</v>
      </c>
      <c r="D589" s="58">
        <f>VLOOKUP(C589,Comptes!$A$2:$B$44,2,FALSE)</f>
        <v>0</v>
      </c>
      <c r="E589" s="62">
        <v>512000</v>
      </c>
      <c r="F589" s="58">
        <f>VLOOKUP(E589,Comptes!$A$2:$B$44,2,FALSE)</f>
        <v>0</v>
      </c>
      <c r="G589" s="59" t="s">
        <v>178</v>
      </c>
      <c r="H589" s="63" t="s">
        <v>298</v>
      </c>
      <c r="I589" s="61">
        <v>113.6</v>
      </c>
      <c r="J589" s="66" t="s">
        <v>300</v>
      </c>
      <c r="K589" s="54">
        <f t="shared" si="2"/>
        <v>0</v>
      </c>
      <c r="L589" s="54">
        <f t="shared" si="3"/>
        <v>0</v>
      </c>
    </row>
    <row r="590" spans="1:12" ht="13.5" customHeight="1">
      <c r="A590" s="65">
        <v>267162</v>
      </c>
      <c r="B590" s="57">
        <v>39180</v>
      </c>
      <c r="C590" s="60">
        <v>512000</v>
      </c>
      <c r="D590" s="58">
        <f>VLOOKUP(C590,Comptes!$A$2:$B$44,2,FALSE)</f>
        <v>0</v>
      </c>
      <c r="E590" s="62">
        <v>754000</v>
      </c>
      <c r="F590" s="58">
        <f>VLOOKUP(E590,Comptes!$A$2:$B$44,2,FALSE)</f>
        <v>0</v>
      </c>
      <c r="G590" s="59" t="s">
        <v>170</v>
      </c>
      <c r="H590" s="63" t="s">
        <v>279</v>
      </c>
      <c r="I590" s="61">
        <v>646</v>
      </c>
      <c r="J590" s="66"/>
      <c r="K590" s="54">
        <f t="shared" si="2"/>
        <v>0</v>
      </c>
      <c r="L590" s="54">
        <f t="shared" si="3"/>
        <v>0</v>
      </c>
    </row>
    <row r="591" spans="1:12" ht="13.5" customHeight="1">
      <c r="A591" s="65">
        <v>267162</v>
      </c>
      <c r="B591" s="57">
        <v>39180</v>
      </c>
      <c r="C591" s="60">
        <v>512000</v>
      </c>
      <c r="D591" s="58">
        <f>VLOOKUP(C591,Comptes!$A$2:$B$44,2,FALSE)</f>
        <v>0</v>
      </c>
      <c r="E591" s="62">
        <v>706230</v>
      </c>
      <c r="F591" s="58">
        <f>VLOOKUP(E591,Comptes!$A$2:$B$44,2,FALSE)</f>
        <v>0</v>
      </c>
      <c r="G591" s="59" t="s">
        <v>170</v>
      </c>
      <c r="H591" s="63" t="s">
        <v>279</v>
      </c>
      <c r="I591" s="61">
        <v>2329</v>
      </c>
      <c r="J591" s="66"/>
      <c r="K591" s="54">
        <f t="shared" si="2"/>
        <v>0</v>
      </c>
      <c r="L591" s="54">
        <f t="shared" si="3"/>
        <v>0</v>
      </c>
    </row>
    <row r="592" spans="1:12" ht="13.5" customHeight="1">
      <c r="A592" s="65">
        <v>267162</v>
      </c>
      <c r="B592" s="57">
        <v>39180</v>
      </c>
      <c r="C592" s="60">
        <v>512000</v>
      </c>
      <c r="D592" s="58">
        <f>VLOOKUP(C592,Comptes!$A$2:$B$44,2,FALSE)</f>
        <v>0</v>
      </c>
      <c r="E592" s="62">
        <v>706220</v>
      </c>
      <c r="F592" s="58">
        <f>VLOOKUP(E592,Comptes!$A$2:$B$44,2,FALSE)</f>
        <v>0</v>
      </c>
      <c r="G592" s="59" t="s">
        <v>170</v>
      </c>
      <c r="H592" s="63" t="s">
        <v>279</v>
      </c>
      <c r="I592" s="61">
        <v>1011</v>
      </c>
      <c r="J592" s="66"/>
      <c r="K592" s="54">
        <f t="shared" si="2"/>
        <v>0</v>
      </c>
      <c r="L592" s="54">
        <f t="shared" si="3"/>
        <v>0</v>
      </c>
    </row>
    <row r="593" spans="1:12" ht="13.5" customHeight="1">
      <c r="A593" s="65">
        <v>267162</v>
      </c>
      <c r="B593" s="57">
        <v>39180</v>
      </c>
      <c r="C593" s="60">
        <v>512000</v>
      </c>
      <c r="D593" s="58">
        <f>VLOOKUP(C593,Comptes!$A$2:$B$44,2,FALSE)</f>
        <v>0</v>
      </c>
      <c r="E593" s="62">
        <v>706210</v>
      </c>
      <c r="F593" s="58">
        <f>VLOOKUP(E593,Comptes!$A$2:$B$44,2,FALSE)</f>
        <v>0</v>
      </c>
      <c r="G593" s="59" t="s">
        <v>170</v>
      </c>
      <c r="H593" s="63" t="s">
        <v>279</v>
      </c>
      <c r="I593" s="61">
        <v>831</v>
      </c>
      <c r="J593" s="66"/>
      <c r="K593" s="54">
        <f t="shared" si="2"/>
        <v>0</v>
      </c>
      <c r="L593" s="54">
        <f t="shared" si="3"/>
        <v>0</v>
      </c>
    </row>
    <row r="594" spans="1:12" ht="13.5" customHeight="1">
      <c r="A594" s="65">
        <v>267162</v>
      </c>
      <c r="B594" s="57">
        <v>39180</v>
      </c>
      <c r="C594" s="60">
        <v>512000</v>
      </c>
      <c r="D594" s="58">
        <f>VLOOKUP(C594,Comptes!$A$2:$B$44,2,FALSE)</f>
        <v>0</v>
      </c>
      <c r="E594" s="62">
        <v>756000</v>
      </c>
      <c r="F594" s="58">
        <f>VLOOKUP(E594,Comptes!$A$2:$B$44,2,FALSE)</f>
        <v>0</v>
      </c>
      <c r="G594" s="59" t="s">
        <v>170</v>
      </c>
      <c r="H594" s="63" t="s">
        <v>279</v>
      </c>
      <c r="I594" s="61">
        <v>10</v>
      </c>
      <c r="J594" s="66"/>
      <c r="K594" s="54">
        <f t="shared" si="2"/>
        <v>0</v>
      </c>
      <c r="L594" s="54">
        <f t="shared" si="3"/>
        <v>0</v>
      </c>
    </row>
    <row r="595" spans="1:12" ht="13.5" customHeight="1">
      <c r="A595" s="65">
        <v>267162</v>
      </c>
      <c r="B595" s="57">
        <v>39180</v>
      </c>
      <c r="C595" s="60">
        <v>512000</v>
      </c>
      <c r="D595" s="58">
        <f>VLOOKUP(C595,Comptes!$A$2:$B$44,2,FALSE)</f>
        <v>0</v>
      </c>
      <c r="E595" s="62">
        <v>758000</v>
      </c>
      <c r="F595" s="58">
        <f>VLOOKUP(E595,Comptes!$A$2:$B$44,2,FALSE)</f>
        <v>0</v>
      </c>
      <c r="G595" s="59" t="s">
        <v>170</v>
      </c>
      <c r="H595" s="63" t="s">
        <v>279</v>
      </c>
      <c r="I595" s="61">
        <v>2540</v>
      </c>
      <c r="J595" s="66" t="s">
        <v>301</v>
      </c>
      <c r="K595" s="54">
        <f t="shared" si="2"/>
        <v>0</v>
      </c>
      <c r="L595" s="54">
        <f t="shared" si="3"/>
        <v>0</v>
      </c>
    </row>
    <row r="596" spans="1:12" ht="13.5" customHeight="1">
      <c r="A596" s="65">
        <v>267162</v>
      </c>
      <c r="B596" s="57">
        <v>39180</v>
      </c>
      <c r="C596" s="60">
        <v>511200</v>
      </c>
      <c r="D596" s="58">
        <f>VLOOKUP(C596,Comptes!$A$2:$B$44,2,FALSE)</f>
        <v>0</v>
      </c>
      <c r="E596" s="62">
        <v>512000</v>
      </c>
      <c r="F596" s="58">
        <f>VLOOKUP(E596,Comptes!$A$2:$B$44,2,FALSE)</f>
        <v>0</v>
      </c>
      <c r="G596" s="59" t="s">
        <v>170</v>
      </c>
      <c r="H596" s="63" t="s">
        <v>279</v>
      </c>
      <c r="I596" s="61">
        <v>200</v>
      </c>
      <c r="J596" s="66"/>
      <c r="K596" s="54">
        <f t="shared" si="2"/>
        <v>0</v>
      </c>
      <c r="L596" s="54">
        <f t="shared" si="3"/>
        <v>1</v>
      </c>
    </row>
    <row r="597" spans="1:12" ht="13.5" customHeight="1">
      <c r="A597" s="65">
        <v>267162</v>
      </c>
      <c r="B597" s="57">
        <v>39180</v>
      </c>
      <c r="C597" s="60">
        <v>530000</v>
      </c>
      <c r="D597" s="58">
        <f>VLOOKUP(C597,Comptes!$A$2:$B$44,2,FALSE)</f>
        <v>0</v>
      </c>
      <c r="E597" s="62">
        <v>754000</v>
      </c>
      <c r="F597" s="58">
        <f>VLOOKUP(E597,Comptes!$A$2:$B$44,2,FALSE)</f>
        <v>0</v>
      </c>
      <c r="G597" s="59"/>
      <c r="H597" s="63"/>
      <c r="I597" s="61">
        <v>4</v>
      </c>
      <c r="J597" s="66"/>
      <c r="K597" s="54">
        <f t="shared" si="2"/>
        <v>1</v>
      </c>
      <c r="L597" s="54">
        <f t="shared" si="3"/>
        <v>0</v>
      </c>
    </row>
    <row r="598" spans="1:12" ht="13.5" customHeight="1">
      <c r="A598" s="65">
        <v>267162</v>
      </c>
      <c r="B598" s="57">
        <v>39180</v>
      </c>
      <c r="C598" s="60">
        <v>530000</v>
      </c>
      <c r="D598" s="58">
        <f>VLOOKUP(C598,Comptes!$A$2:$B$44,2,FALSE)</f>
        <v>0</v>
      </c>
      <c r="E598" s="62">
        <v>706230</v>
      </c>
      <c r="F598" s="58">
        <f>VLOOKUP(E598,Comptes!$A$2:$B$44,2,FALSE)</f>
        <v>0</v>
      </c>
      <c r="G598" s="59"/>
      <c r="H598" s="63"/>
      <c r="I598" s="61">
        <v>526</v>
      </c>
      <c r="J598" s="66"/>
      <c r="K598" s="54">
        <f t="shared" si="2"/>
        <v>1</v>
      </c>
      <c r="L598" s="54">
        <f t="shared" si="3"/>
        <v>0</v>
      </c>
    </row>
    <row r="599" spans="1:12" ht="13.5" customHeight="1">
      <c r="A599" s="65">
        <v>267162</v>
      </c>
      <c r="B599" s="57">
        <v>39180</v>
      </c>
      <c r="C599" s="60">
        <v>530000</v>
      </c>
      <c r="D599" s="58">
        <f>VLOOKUP(C599,Comptes!$A$2:$B$44,2,FALSE)</f>
        <v>0</v>
      </c>
      <c r="E599" s="62">
        <v>706220</v>
      </c>
      <c r="F599" s="58">
        <f>VLOOKUP(E599,Comptes!$A$2:$B$44,2,FALSE)</f>
        <v>0</v>
      </c>
      <c r="G599" s="59"/>
      <c r="H599" s="63"/>
      <c r="I599" s="61">
        <v>291</v>
      </c>
      <c r="J599" s="66"/>
      <c r="K599" s="54">
        <f t="shared" si="2"/>
        <v>1</v>
      </c>
      <c r="L599" s="54">
        <f t="shared" si="3"/>
        <v>0</v>
      </c>
    </row>
    <row r="600" spans="1:12" ht="13.5" customHeight="1">
      <c r="A600" s="65">
        <v>267162</v>
      </c>
      <c r="B600" s="57">
        <v>39180</v>
      </c>
      <c r="C600" s="60">
        <v>530000</v>
      </c>
      <c r="D600" s="58">
        <f>VLOOKUP(C600,Comptes!$A$2:$B$44,2,FALSE)</f>
        <v>0</v>
      </c>
      <c r="E600" s="62">
        <v>706210</v>
      </c>
      <c r="F600" s="58">
        <f>VLOOKUP(E600,Comptes!$A$2:$B$44,2,FALSE)</f>
        <v>0</v>
      </c>
      <c r="G600" s="59"/>
      <c r="H600" s="63"/>
      <c r="I600" s="61">
        <v>177</v>
      </c>
      <c r="J600" s="66"/>
      <c r="K600" s="54">
        <f t="shared" si="2"/>
        <v>1</v>
      </c>
      <c r="L600" s="54">
        <f t="shared" si="3"/>
        <v>0</v>
      </c>
    </row>
    <row r="601" spans="1:12" ht="13.5" customHeight="1">
      <c r="A601" s="65">
        <v>267162</v>
      </c>
      <c r="B601" s="57">
        <v>39180</v>
      </c>
      <c r="C601" s="60">
        <v>530000</v>
      </c>
      <c r="D601" s="58">
        <f>VLOOKUP(C601,Comptes!$A$2:$B$44,2,FALSE)</f>
        <v>0</v>
      </c>
      <c r="E601" s="62">
        <v>756000</v>
      </c>
      <c r="F601" s="58">
        <f>VLOOKUP(E601,Comptes!$A$2:$B$44,2,FALSE)</f>
        <v>0</v>
      </c>
      <c r="G601" s="59"/>
      <c r="H601" s="63"/>
      <c r="I601" s="61">
        <v>96</v>
      </c>
      <c r="J601" s="66"/>
      <c r="K601" s="54">
        <f t="shared" si="2"/>
        <v>1</v>
      </c>
      <c r="L601" s="54">
        <f t="shared" si="3"/>
        <v>0</v>
      </c>
    </row>
    <row r="602" spans="1:12" ht="13.5" customHeight="1">
      <c r="A602" s="65">
        <v>267162</v>
      </c>
      <c r="B602" s="57">
        <v>39180</v>
      </c>
      <c r="C602" s="60">
        <v>530000</v>
      </c>
      <c r="D602" s="58">
        <f>VLOOKUP(C602,Comptes!$A$2:$B$44,2,FALSE)</f>
        <v>0</v>
      </c>
      <c r="E602" s="62">
        <v>708000</v>
      </c>
      <c r="F602" s="58">
        <f>VLOOKUP(E602,Comptes!$A$2:$B$44,2,FALSE)</f>
        <v>0</v>
      </c>
      <c r="G602" s="59"/>
      <c r="H602" s="63"/>
      <c r="I602" s="61">
        <v>9</v>
      </c>
      <c r="J602" s="66"/>
      <c r="K602" s="54">
        <f t="shared" si="2"/>
        <v>1</v>
      </c>
      <c r="L602" s="54">
        <f t="shared" si="3"/>
        <v>0</v>
      </c>
    </row>
    <row r="603" spans="1:12" ht="13.5" customHeight="1">
      <c r="A603" s="65">
        <v>267162</v>
      </c>
      <c r="B603" s="57">
        <v>39180</v>
      </c>
      <c r="C603" s="60">
        <v>530000</v>
      </c>
      <c r="D603" s="58">
        <f>VLOOKUP(C603,Comptes!$A$2:$B$44,2,FALSE)</f>
        <v>0</v>
      </c>
      <c r="E603" s="62">
        <v>706230</v>
      </c>
      <c r="F603" s="58">
        <f>VLOOKUP(E603,Comptes!$A$2:$B$44,2,FALSE)</f>
        <v>0</v>
      </c>
      <c r="G603" s="59"/>
      <c r="H603" s="63"/>
      <c r="I603" s="61">
        <v>22</v>
      </c>
      <c r="J603" s="66"/>
      <c r="K603" s="54">
        <f t="shared" si="2"/>
        <v>1</v>
      </c>
      <c r="L603" s="54">
        <f t="shared" si="3"/>
        <v>0</v>
      </c>
    </row>
    <row r="604" spans="1:12" ht="13.5" customHeight="1">
      <c r="A604" s="65">
        <v>267162</v>
      </c>
      <c r="B604" s="57">
        <v>39180</v>
      </c>
      <c r="C604" s="60">
        <v>530000</v>
      </c>
      <c r="D604" s="58">
        <f>VLOOKUP(C604,Comptes!$A$2:$B$44,2,FALSE)</f>
        <v>0</v>
      </c>
      <c r="E604" s="62">
        <v>758000</v>
      </c>
      <c r="F604" s="58">
        <f>VLOOKUP(E604,Comptes!$A$2:$B$44,2,FALSE)</f>
        <v>0</v>
      </c>
      <c r="G604" s="59"/>
      <c r="H604" s="63"/>
      <c r="I604" s="61">
        <v>24.97</v>
      </c>
      <c r="J604" s="66" t="s">
        <v>302</v>
      </c>
      <c r="K604" s="54">
        <f t="shared" si="2"/>
        <v>1</v>
      </c>
      <c r="L604" s="54">
        <f t="shared" si="3"/>
        <v>0</v>
      </c>
    </row>
    <row r="605" spans="1:12" ht="13.5" customHeight="1">
      <c r="A605" s="65">
        <v>267162</v>
      </c>
      <c r="B605" s="57">
        <v>39180</v>
      </c>
      <c r="C605" s="60">
        <v>512000</v>
      </c>
      <c r="D605" s="58">
        <f>VLOOKUP(C605,Comptes!$A$2:$B$44,2,FALSE)</f>
        <v>0</v>
      </c>
      <c r="E605" s="62">
        <v>530000</v>
      </c>
      <c r="F605" s="58">
        <f>VLOOKUP(E605,Comptes!$A$2:$B$44,2,FALSE)</f>
        <v>0</v>
      </c>
      <c r="G605" s="59"/>
      <c r="H605" s="63"/>
      <c r="I605" s="61">
        <v>1150</v>
      </c>
      <c r="J605" s="66"/>
      <c r="K605" s="54">
        <f t="shared" si="2"/>
        <v>1</v>
      </c>
      <c r="L605" s="54">
        <f t="shared" si="3"/>
        <v>0</v>
      </c>
    </row>
    <row r="606" spans="1:12" ht="13.5" customHeight="1">
      <c r="A606" s="65">
        <v>267163</v>
      </c>
      <c r="B606" s="57">
        <v>39175</v>
      </c>
      <c r="C606" s="60">
        <v>512000</v>
      </c>
      <c r="D606" s="58">
        <f>VLOOKUP(C606,Comptes!$A$2:$B$44,2,FALSE)</f>
        <v>0</v>
      </c>
      <c r="E606" s="60">
        <v>754000</v>
      </c>
      <c r="F606" s="58">
        <f>VLOOKUP(E606,Comptes!$A$2:$B$44,2,FALSE)</f>
        <v>0</v>
      </c>
      <c r="G606" s="59" t="s">
        <v>171</v>
      </c>
      <c r="H606" s="63" t="s">
        <v>279</v>
      </c>
      <c r="I606" s="61">
        <v>15.15</v>
      </c>
      <c r="J606" s="64"/>
      <c r="K606" s="54">
        <f t="shared" si="2"/>
        <v>0</v>
      </c>
      <c r="L606" s="54">
        <f t="shared" si="3"/>
        <v>0</v>
      </c>
    </row>
    <row r="607" spans="1:12" ht="13.5" customHeight="1">
      <c r="A607" s="65">
        <v>267164</v>
      </c>
      <c r="B607" s="57">
        <v>39180</v>
      </c>
      <c r="C607" s="60">
        <v>615000</v>
      </c>
      <c r="D607" s="58">
        <f>VLOOKUP(C607,Comptes!$A$2:$B$44,2,FALSE)</f>
        <v>0</v>
      </c>
      <c r="E607" s="62">
        <v>512000</v>
      </c>
      <c r="F607" s="58">
        <f>VLOOKUP(E607,Comptes!$A$2:$B$44,2,FALSE)</f>
        <v>0</v>
      </c>
      <c r="G607" s="59" t="s">
        <v>303</v>
      </c>
      <c r="H607" s="63" t="s">
        <v>298</v>
      </c>
      <c r="I607" s="37">
        <v>689.44</v>
      </c>
      <c r="J607" s="64"/>
      <c r="K607" s="54">
        <f t="shared" si="2"/>
        <v>0</v>
      </c>
      <c r="L607" s="54">
        <f t="shared" si="3"/>
        <v>0</v>
      </c>
    </row>
    <row r="608" spans="1:12" ht="13.5" customHeight="1">
      <c r="A608" s="65">
        <v>267165</v>
      </c>
      <c r="B608" s="57">
        <v>39180</v>
      </c>
      <c r="C608" s="60">
        <v>622600</v>
      </c>
      <c r="D608" s="58">
        <f>VLOOKUP(C608,Comptes!$A$2:$B$44,2,FALSE)</f>
        <v>0</v>
      </c>
      <c r="E608" s="62">
        <v>512000</v>
      </c>
      <c r="F608" s="58">
        <f>VLOOKUP(E608,Comptes!$A$2:$B$44,2,FALSE)</f>
        <v>0</v>
      </c>
      <c r="G608" s="59" t="s">
        <v>304</v>
      </c>
      <c r="H608" s="63" t="s">
        <v>279</v>
      </c>
      <c r="I608" s="61">
        <v>570</v>
      </c>
      <c r="J608" s="66" t="s">
        <v>261</v>
      </c>
      <c r="K608" s="54">
        <f t="shared" si="2"/>
        <v>0</v>
      </c>
      <c r="L608" s="54">
        <f t="shared" si="3"/>
        <v>0</v>
      </c>
    </row>
    <row r="609" spans="2:12" ht="13.5" customHeight="1">
      <c r="B609" s="57">
        <v>39182</v>
      </c>
      <c r="C609" s="60">
        <v>613200</v>
      </c>
      <c r="D609" s="58">
        <f>VLOOKUP(C609,Comptes!$A$2:$B$44,2,FALSE)</f>
        <v>0</v>
      </c>
      <c r="E609" s="59">
        <v>512000</v>
      </c>
      <c r="F609" s="58">
        <f>VLOOKUP(E609,Comptes!$A$2:$B$44,2,FALSE)</f>
        <v>0</v>
      </c>
      <c r="G609" s="59" t="s">
        <v>178</v>
      </c>
      <c r="H609" s="63" t="s">
        <v>279</v>
      </c>
      <c r="I609" s="61">
        <v>972.01</v>
      </c>
      <c r="J609" s="64" t="s">
        <v>305</v>
      </c>
      <c r="K609" s="54">
        <f t="shared" si="2"/>
        <v>0</v>
      </c>
      <c r="L609" s="54">
        <f t="shared" si="3"/>
        <v>0</v>
      </c>
    </row>
    <row r="610" spans="1:12" ht="13.5" customHeight="1">
      <c r="A610" s="64"/>
      <c r="B610" s="57"/>
      <c r="C610" s="60"/>
      <c r="D610" s="58" t="e">
        <f>VLOOKUP(C610,Comptes!$A$2:$B$44,2,FALSE)</f>
        <v>#N/A</v>
      </c>
      <c r="E610" s="59"/>
      <c r="F610" s="58" t="e">
        <f>VLOOKUP(E610,Comptes!$A$2:$B$44,2,FALSE)</f>
        <v>#N/A</v>
      </c>
      <c r="H610" s="63"/>
      <c r="I610" s="61"/>
      <c r="J610" s="64"/>
      <c r="K610" s="54">
        <f t="shared" si="2"/>
        <v>0</v>
      </c>
      <c r="L610" s="54">
        <f t="shared" si="3"/>
        <v>0</v>
      </c>
    </row>
    <row r="611" spans="1:12" ht="13.5" customHeight="1">
      <c r="A611" s="69" t="s">
        <v>306</v>
      </c>
      <c r="B611" s="70"/>
      <c r="C611" s="71"/>
      <c r="D611" s="72"/>
      <c r="E611" s="73"/>
      <c r="F611" s="72"/>
      <c r="G611" s="63"/>
      <c r="H611" s="63"/>
      <c r="I611" s="74"/>
      <c r="J611" s="64"/>
      <c r="K611" s="75"/>
      <c r="L611" s="54"/>
    </row>
    <row r="612" spans="1:12" ht="13.5" customHeight="1">
      <c r="A612" s="65"/>
      <c r="B612" s="57">
        <v>39203</v>
      </c>
      <c r="C612" s="60">
        <v>641000</v>
      </c>
      <c r="D612" s="58">
        <f>VLOOKUP(C612,Comptes!$A$2:$B$44,2,FALSE)</f>
        <v>0</v>
      </c>
      <c r="E612" s="59">
        <v>512000</v>
      </c>
      <c r="F612" s="58">
        <f>VLOOKUP(E612,Comptes!$A$2:$B$44,2,FALSE)</f>
        <v>0</v>
      </c>
      <c r="H612" s="63" t="s">
        <v>294</v>
      </c>
      <c r="I612" s="61">
        <v>343.2</v>
      </c>
      <c r="J612" s="35"/>
      <c r="K612" s="54">
        <f aca="true" t="shared" si="5" ref="K612:K633">IF(OR(C612=530000,E612=530000),1,0)</f>
        <v>0</v>
      </c>
      <c r="L612" s="54">
        <f aca="true" t="shared" si="6" ref="L612:L633">IF(OR(C612=511200,E612=511200),1,0)</f>
        <v>0</v>
      </c>
    </row>
    <row r="613" spans="1:12" ht="13.5" customHeight="1">
      <c r="A613" s="65"/>
      <c r="B613" s="57">
        <v>39234</v>
      </c>
      <c r="C613" s="60">
        <v>641000</v>
      </c>
      <c r="D613" s="58">
        <f>VLOOKUP(C613,Comptes!$A$2:$B$44,2,FALSE)</f>
        <v>0</v>
      </c>
      <c r="E613" s="59">
        <v>512000</v>
      </c>
      <c r="F613" s="58">
        <f>VLOOKUP(E613,Comptes!$A$2:$B$44,2,FALSE)</f>
        <v>0</v>
      </c>
      <c r="H613" s="63" t="s">
        <v>307</v>
      </c>
      <c r="I613" s="61">
        <v>343.2</v>
      </c>
      <c r="J613" s="35"/>
      <c r="K613" s="54">
        <f t="shared" si="5"/>
        <v>0</v>
      </c>
      <c r="L613" s="54">
        <f t="shared" si="6"/>
        <v>0</v>
      </c>
    </row>
    <row r="614" spans="1:12" ht="13.5" customHeight="1">
      <c r="A614" s="65"/>
      <c r="B614" s="57">
        <v>39264</v>
      </c>
      <c r="C614" s="60">
        <v>641000</v>
      </c>
      <c r="D614" s="58">
        <f>VLOOKUP(C614,Comptes!$A$2:$B$44,2,FALSE)</f>
        <v>0</v>
      </c>
      <c r="E614" s="59">
        <v>512000</v>
      </c>
      <c r="F614" s="58">
        <f>VLOOKUP(E614,Comptes!$A$2:$B$44,2,FALSE)</f>
        <v>0</v>
      </c>
      <c r="H614" s="63" t="s">
        <v>308</v>
      </c>
      <c r="I614" s="61">
        <v>343.2</v>
      </c>
      <c r="J614" s="35"/>
      <c r="K614" s="54">
        <f t="shared" si="5"/>
        <v>0</v>
      </c>
      <c r="L614" s="54">
        <f t="shared" si="6"/>
        <v>0</v>
      </c>
    </row>
    <row r="615" spans="1:12" ht="13.5" customHeight="1">
      <c r="A615" s="65"/>
      <c r="B615" s="57">
        <v>39295</v>
      </c>
      <c r="C615" s="60">
        <v>641000</v>
      </c>
      <c r="D615" s="58">
        <f>VLOOKUP(C615,Comptes!$A$2:$B$44,2,FALSE)</f>
        <v>0</v>
      </c>
      <c r="E615" s="59">
        <v>512000</v>
      </c>
      <c r="F615" s="58">
        <f>VLOOKUP(E615,Comptes!$A$2:$B$44,2,FALSE)</f>
        <v>0</v>
      </c>
      <c r="H615" s="63" t="s">
        <v>309</v>
      </c>
      <c r="I615" s="61">
        <v>343.2</v>
      </c>
      <c r="J615" s="35"/>
      <c r="K615" s="54">
        <f t="shared" si="5"/>
        <v>0</v>
      </c>
      <c r="L615" s="54">
        <f t="shared" si="6"/>
        <v>0</v>
      </c>
    </row>
    <row r="616" spans="1:12" ht="13.5" customHeight="1">
      <c r="A616" s="65"/>
      <c r="B616" s="57">
        <v>39326</v>
      </c>
      <c r="C616" s="60">
        <v>641000</v>
      </c>
      <c r="D616" s="58">
        <f>VLOOKUP(C616,Comptes!$A$2:$B$44,2,FALSE)</f>
        <v>0</v>
      </c>
      <c r="E616" s="59">
        <v>512000</v>
      </c>
      <c r="F616" s="58">
        <f>VLOOKUP(E616,Comptes!$A$2:$B$44,2,FALSE)</f>
        <v>0</v>
      </c>
      <c r="H616" s="63" t="s">
        <v>310</v>
      </c>
      <c r="I616" s="61">
        <v>343.2</v>
      </c>
      <c r="J616" s="35"/>
      <c r="K616" s="54">
        <f t="shared" si="5"/>
        <v>0</v>
      </c>
      <c r="L616" s="54">
        <f t="shared" si="6"/>
        <v>0</v>
      </c>
    </row>
    <row r="617" spans="1:12" ht="13.5" customHeight="1">
      <c r="A617" s="65"/>
      <c r="B617" s="57">
        <v>39355</v>
      </c>
      <c r="C617" s="60">
        <v>641000</v>
      </c>
      <c r="D617" s="58">
        <f>VLOOKUP(C617,Comptes!$A$2:$B$44,2,FALSE)</f>
        <v>0</v>
      </c>
      <c r="E617" s="59">
        <v>512000</v>
      </c>
      <c r="F617" s="58">
        <f>VLOOKUP(E617,Comptes!$A$2:$B$44,2,FALSE)</f>
        <v>0</v>
      </c>
      <c r="H617" s="63" t="s">
        <v>311</v>
      </c>
      <c r="I617" s="61">
        <v>343.2</v>
      </c>
      <c r="J617" s="35"/>
      <c r="K617" s="54">
        <f t="shared" si="5"/>
        <v>0</v>
      </c>
      <c r="L617" s="54">
        <f t="shared" si="6"/>
        <v>0</v>
      </c>
    </row>
    <row r="618" spans="2:12" ht="13.5" customHeight="1">
      <c r="B618" s="57">
        <v>39203</v>
      </c>
      <c r="C618" s="60">
        <v>645000</v>
      </c>
      <c r="D618" s="58">
        <f>VLOOKUP(C618,Comptes!$A$2:$B$44,2,FALSE)</f>
        <v>0</v>
      </c>
      <c r="E618" s="59">
        <v>512000</v>
      </c>
      <c r="F618" s="58">
        <f>VLOOKUP(E618,Comptes!$A$2:$B$44,2,FALSE)</f>
        <v>0</v>
      </c>
      <c r="G618" s="59" t="s">
        <v>178</v>
      </c>
      <c r="H618" s="63" t="s">
        <v>307</v>
      </c>
      <c r="I618" s="61">
        <v>181</v>
      </c>
      <c r="J618" s="35"/>
      <c r="K618" s="54">
        <f t="shared" si="5"/>
        <v>0</v>
      </c>
      <c r="L618" s="54">
        <f t="shared" si="6"/>
        <v>0</v>
      </c>
    </row>
    <row r="619" spans="2:12" ht="13.5" customHeight="1">
      <c r="B619" s="57">
        <v>39234</v>
      </c>
      <c r="C619" s="60">
        <v>645000</v>
      </c>
      <c r="D619" s="58">
        <f>VLOOKUP(C619,Comptes!$A$2:$B$44,2,FALSE)</f>
        <v>0</v>
      </c>
      <c r="E619" s="59">
        <v>512000</v>
      </c>
      <c r="F619" s="58">
        <f>VLOOKUP(E619,Comptes!$A$2:$B$44,2,FALSE)</f>
        <v>0</v>
      </c>
      <c r="G619" s="59" t="s">
        <v>178</v>
      </c>
      <c r="H619" s="63" t="s">
        <v>308</v>
      </c>
      <c r="I619" s="61">
        <v>181</v>
      </c>
      <c r="J619" s="35"/>
      <c r="K619" s="54">
        <f t="shared" si="5"/>
        <v>0</v>
      </c>
      <c r="L619" s="54">
        <f t="shared" si="6"/>
        <v>0</v>
      </c>
    </row>
    <row r="620" spans="2:12" ht="13.5" customHeight="1">
      <c r="B620" s="57">
        <v>39264</v>
      </c>
      <c r="C620" s="60">
        <v>645000</v>
      </c>
      <c r="D620" s="58">
        <f>VLOOKUP(C620,Comptes!$A$2:$B$44,2,FALSE)</f>
        <v>0</v>
      </c>
      <c r="E620" s="59">
        <v>512000</v>
      </c>
      <c r="F620" s="58">
        <f>VLOOKUP(E620,Comptes!$A$2:$B$44,2,FALSE)</f>
        <v>0</v>
      </c>
      <c r="G620" s="59" t="s">
        <v>178</v>
      </c>
      <c r="H620" s="63" t="s">
        <v>309</v>
      </c>
      <c r="I620" s="61">
        <v>181</v>
      </c>
      <c r="J620" s="35"/>
      <c r="K620" s="54">
        <f t="shared" si="5"/>
        <v>0</v>
      </c>
      <c r="L620" s="54">
        <f t="shared" si="6"/>
        <v>0</v>
      </c>
    </row>
    <row r="621" spans="2:12" ht="13.5" customHeight="1">
      <c r="B621" s="57">
        <v>39295</v>
      </c>
      <c r="C621" s="60">
        <v>645000</v>
      </c>
      <c r="D621" s="58">
        <f>VLOOKUP(C621,Comptes!$A$2:$B$44,2,FALSE)</f>
        <v>0</v>
      </c>
      <c r="E621" s="59">
        <v>512000</v>
      </c>
      <c r="F621" s="58">
        <f>VLOOKUP(E621,Comptes!$A$2:$B$44,2,FALSE)</f>
        <v>0</v>
      </c>
      <c r="G621" s="59" t="s">
        <v>178</v>
      </c>
      <c r="H621" s="63" t="s">
        <v>310</v>
      </c>
      <c r="I621" s="61">
        <v>181</v>
      </c>
      <c r="J621" s="35"/>
      <c r="K621" s="54">
        <f t="shared" si="5"/>
        <v>0</v>
      </c>
      <c r="L621" s="54">
        <f t="shared" si="6"/>
        <v>0</v>
      </c>
    </row>
    <row r="622" spans="1:12" ht="13.5" customHeight="1">
      <c r="A622" s="76"/>
      <c r="B622" s="57">
        <v>39355</v>
      </c>
      <c r="C622" s="60">
        <v>630000</v>
      </c>
      <c r="D622" s="58">
        <f>VLOOKUP(C622,Comptes!$A$2:$B$44,2,FALSE)</f>
        <v>0</v>
      </c>
      <c r="E622" s="59">
        <v>468600</v>
      </c>
      <c r="F622" s="58">
        <f>VLOOKUP(E622,Comptes!$A$2:$B$44,2,FALSE)</f>
        <v>0</v>
      </c>
      <c r="G622" s="59"/>
      <c r="H622" s="59"/>
      <c r="I622" s="37">
        <v>2700</v>
      </c>
      <c r="J622" s="35" t="s">
        <v>312</v>
      </c>
      <c r="K622" s="54">
        <f t="shared" si="5"/>
        <v>0</v>
      </c>
      <c r="L622" s="54">
        <f t="shared" si="6"/>
        <v>0</v>
      </c>
    </row>
    <row r="623" spans="1:12" ht="13.5" customHeight="1">
      <c r="A623" s="64">
        <v>267110</v>
      </c>
      <c r="B623" s="57">
        <v>39202</v>
      </c>
      <c r="C623" s="60">
        <v>613100</v>
      </c>
      <c r="D623" s="58">
        <f>VLOOKUP(C623,Comptes!$A$2:$B$44,2,FALSE)</f>
        <v>0</v>
      </c>
      <c r="E623" s="62">
        <v>511200</v>
      </c>
      <c r="F623" s="58">
        <f>VLOOKUP(E623,Comptes!$A$2:$B$44,2,FALSE)</f>
        <v>0</v>
      </c>
      <c r="G623" s="59"/>
      <c r="H623" s="59"/>
      <c r="I623" s="61">
        <v>835</v>
      </c>
      <c r="J623" s="67"/>
      <c r="K623" s="54">
        <f t="shared" si="5"/>
        <v>0</v>
      </c>
      <c r="L623" s="54">
        <f t="shared" si="6"/>
        <v>1</v>
      </c>
    </row>
    <row r="624" spans="1:12" ht="13.5" customHeight="1">
      <c r="A624" s="64">
        <v>267110</v>
      </c>
      <c r="B624" s="57">
        <v>39233</v>
      </c>
      <c r="C624" s="60">
        <v>613100</v>
      </c>
      <c r="D624" s="58">
        <f>VLOOKUP(C624,Comptes!$A$2:$B$44,2,FALSE)</f>
        <v>0</v>
      </c>
      <c r="E624" s="62">
        <v>511200</v>
      </c>
      <c r="F624" s="58">
        <f>VLOOKUP(E624,Comptes!$A$2:$B$44,2,FALSE)</f>
        <v>0</v>
      </c>
      <c r="G624" s="59"/>
      <c r="H624" s="59"/>
      <c r="I624" s="61">
        <v>835</v>
      </c>
      <c r="J624" s="67"/>
      <c r="K624" s="54">
        <f t="shared" si="5"/>
        <v>0</v>
      </c>
      <c r="L624" s="54">
        <f t="shared" si="6"/>
        <v>1</v>
      </c>
    </row>
    <row r="625" spans="1:12" ht="13.5" customHeight="1">
      <c r="A625" s="64">
        <v>267110</v>
      </c>
      <c r="B625" s="57">
        <v>39263</v>
      </c>
      <c r="C625" s="60">
        <v>613100</v>
      </c>
      <c r="D625" s="58">
        <f>VLOOKUP(C625,Comptes!$A$2:$B$44,2,FALSE)</f>
        <v>0</v>
      </c>
      <c r="E625" s="62">
        <v>511200</v>
      </c>
      <c r="F625" s="58">
        <f>VLOOKUP(E625,Comptes!$A$2:$B$44,2,FALSE)</f>
        <v>0</v>
      </c>
      <c r="G625" s="59"/>
      <c r="H625" s="59"/>
      <c r="I625" s="61">
        <v>835</v>
      </c>
      <c r="J625" s="67"/>
      <c r="K625" s="54">
        <f t="shared" si="5"/>
        <v>0</v>
      </c>
      <c r="L625" s="54">
        <f t="shared" si="6"/>
        <v>1</v>
      </c>
    </row>
    <row r="626" spans="1:12" ht="13.5" customHeight="1">
      <c r="A626" s="64">
        <v>267110</v>
      </c>
      <c r="B626" s="57">
        <v>39294</v>
      </c>
      <c r="C626" s="60">
        <v>613100</v>
      </c>
      <c r="D626" s="58">
        <f>VLOOKUP(C626,Comptes!$A$2:$B$44,2,FALSE)</f>
        <v>0</v>
      </c>
      <c r="E626" s="62">
        <v>511200</v>
      </c>
      <c r="F626" s="58">
        <f>VLOOKUP(E626,Comptes!$A$2:$B$44,2,FALSE)</f>
        <v>0</v>
      </c>
      <c r="G626" s="59"/>
      <c r="H626" s="59"/>
      <c r="I626" s="61">
        <v>835</v>
      </c>
      <c r="J626" s="67"/>
      <c r="K626" s="54">
        <f t="shared" si="5"/>
        <v>0</v>
      </c>
      <c r="L626" s="54">
        <f t="shared" si="6"/>
        <v>1</v>
      </c>
    </row>
    <row r="627" spans="1:12" ht="13.5" customHeight="1">
      <c r="A627" s="64">
        <v>267110</v>
      </c>
      <c r="B627" s="57">
        <v>39325</v>
      </c>
      <c r="C627" s="60">
        <v>613100</v>
      </c>
      <c r="D627" s="58">
        <f>VLOOKUP(C627,Comptes!$A$2:$B$44,2,FALSE)</f>
        <v>0</v>
      </c>
      <c r="E627" s="62">
        <v>511200</v>
      </c>
      <c r="F627" s="58">
        <f>VLOOKUP(E627,Comptes!$A$2:$B$44,2,FALSE)</f>
        <v>0</v>
      </c>
      <c r="G627" s="59"/>
      <c r="H627" s="59"/>
      <c r="I627" s="61">
        <v>835</v>
      </c>
      <c r="J627" s="67"/>
      <c r="K627" s="54">
        <f t="shared" si="5"/>
        <v>0</v>
      </c>
      <c r="L627" s="54">
        <f t="shared" si="6"/>
        <v>1</v>
      </c>
    </row>
    <row r="628" spans="1:12" ht="13.5" customHeight="1">
      <c r="A628" s="64">
        <v>267110</v>
      </c>
      <c r="B628" s="57">
        <v>39354</v>
      </c>
      <c r="C628" s="60">
        <v>613100</v>
      </c>
      <c r="D628" s="58">
        <f>VLOOKUP(C628,Comptes!$A$2:$B$44,2,FALSE)</f>
        <v>0</v>
      </c>
      <c r="E628" s="62">
        <v>511200</v>
      </c>
      <c r="F628" s="58">
        <f>VLOOKUP(E628,Comptes!$A$2:$B$44,2,FALSE)</f>
        <v>0</v>
      </c>
      <c r="G628" s="59"/>
      <c r="H628" s="59"/>
      <c r="I628" s="61">
        <v>835</v>
      </c>
      <c r="J628" s="67"/>
      <c r="K628" s="54">
        <f t="shared" si="5"/>
        <v>0</v>
      </c>
      <c r="L628" s="54">
        <f t="shared" si="6"/>
        <v>1</v>
      </c>
    </row>
    <row r="629" spans="2:12" ht="13.5" customHeight="1">
      <c r="B629" s="57">
        <v>39212</v>
      </c>
      <c r="C629" s="60">
        <v>613200</v>
      </c>
      <c r="D629" s="58">
        <f>VLOOKUP(C629,Comptes!$A$2:$B$44,2,FALSE)</f>
        <v>0</v>
      </c>
      <c r="E629" s="59">
        <v>512000</v>
      </c>
      <c r="F629" s="58">
        <f>VLOOKUP(E629,Comptes!$A$2:$B$44,2,FALSE)</f>
        <v>0</v>
      </c>
      <c r="G629" s="59" t="s">
        <v>178</v>
      </c>
      <c r="H629" s="63" t="s">
        <v>294</v>
      </c>
      <c r="I629" s="61">
        <v>972.01</v>
      </c>
      <c r="J629" s="64" t="s">
        <v>313</v>
      </c>
      <c r="K629" s="54">
        <f t="shared" si="5"/>
        <v>0</v>
      </c>
      <c r="L629" s="54">
        <f t="shared" si="6"/>
        <v>0</v>
      </c>
    </row>
    <row r="630" spans="2:12" ht="13.5" customHeight="1">
      <c r="B630" s="57">
        <v>39243</v>
      </c>
      <c r="C630" s="60">
        <v>613200</v>
      </c>
      <c r="D630" s="58">
        <f>VLOOKUP(C630,Comptes!$A$2:$B$44,2,FALSE)</f>
        <v>0</v>
      </c>
      <c r="E630" s="59">
        <v>512000</v>
      </c>
      <c r="F630" s="58">
        <f>VLOOKUP(E630,Comptes!$A$2:$B$44,2,FALSE)</f>
        <v>0</v>
      </c>
      <c r="G630" s="59" t="s">
        <v>178</v>
      </c>
      <c r="H630" s="63" t="s">
        <v>307</v>
      </c>
      <c r="I630" s="61">
        <v>972.01</v>
      </c>
      <c r="J630" s="64" t="s">
        <v>314</v>
      </c>
      <c r="K630" s="54">
        <f t="shared" si="5"/>
        <v>0</v>
      </c>
      <c r="L630" s="54">
        <f t="shared" si="6"/>
        <v>0</v>
      </c>
    </row>
    <row r="631" spans="2:12" ht="13.5" customHeight="1">
      <c r="B631" s="57">
        <v>39273</v>
      </c>
      <c r="C631" s="60">
        <v>613200</v>
      </c>
      <c r="D631" s="58">
        <f>VLOOKUP(C631,Comptes!$A$2:$B$44,2,FALSE)</f>
        <v>0</v>
      </c>
      <c r="E631" s="59">
        <v>512000</v>
      </c>
      <c r="F631" s="58">
        <f>VLOOKUP(E631,Comptes!$A$2:$B$44,2,FALSE)</f>
        <v>0</v>
      </c>
      <c r="G631" s="59" t="s">
        <v>178</v>
      </c>
      <c r="H631" s="63" t="s">
        <v>308</v>
      </c>
      <c r="I631" s="61">
        <v>972.01</v>
      </c>
      <c r="J631" s="64" t="s">
        <v>315</v>
      </c>
      <c r="K631" s="54">
        <f t="shared" si="5"/>
        <v>0</v>
      </c>
      <c r="L631" s="54">
        <f t="shared" si="6"/>
        <v>0</v>
      </c>
    </row>
    <row r="632" spans="2:12" ht="13.5" customHeight="1">
      <c r="B632" s="57">
        <v>39304</v>
      </c>
      <c r="C632" s="60">
        <v>613200</v>
      </c>
      <c r="D632" s="58">
        <f>VLOOKUP(C632,Comptes!$A$2:$B$44,2,FALSE)</f>
        <v>0</v>
      </c>
      <c r="E632" s="59">
        <v>512000</v>
      </c>
      <c r="F632" s="58">
        <f>VLOOKUP(E632,Comptes!$A$2:$B$44,2,FALSE)</f>
        <v>0</v>
      </c>
      <c r="G632" s="59" t="s">
        <v>178</v>
      </c>
      <c r="H632" s="63" t="s">
        <v>309</v>
      </c>
      <c r="I632" s="61">
        <v>972.01</v>
      </c>
      <c r="J632" s="64" t="s">
        <v>316</v>
      </c>
      <c r="K632" s="54">
        <f t="shared" si="5"/>
        <v>0</v>
      </c>
      <c r="L632" s="54">
        <f t="shared" si="6"/>
        <v>0</v>
      </c>
    </row>
    <row r="633" spans="2:12" ht="13.5" customHeight="1">
      <c r="B633" s="57">
        <v>39335</v>
      </c>
      <c r="C633" s="60">
        <v>613200</v>
      </c>
      <c r="D633" s="58">
        <f>VLOOKUP(C633,Comptes!$A$2:$B$44,2,FALSE)</f>
        <v>0</v>
      </c>
      <c r="E633" s="59">
        <v>512000</v>
      </c>
      <c r="F633" s="58">
        <f>VLOOKUP(E633,Comptes!$A$2:$B$44,2,FALSE)</f>
        <v>0</v>
      </c>
      <c r="G633" s="59" t="s">
        <v>178</v>
      </c>
      <c r="H633" s="63" t="s">
        <v>310</v>
      </c>
      <c r="I633" s="61">
        <v>972.01</v>
      </c>
      <c r="J633" s="64" t="s">
        <v>317</v>
      </c>
      <c r="K633" s="54">
        <f t="shared" si="5"/>
        <v>0</v>
      </c>
      <c r="L633" s="54">
        <f t="shared" si="6"/>
        <v>0</v>
      </c>
    </row>
    <row r="634" spans="1:9" ht="13.5" customHeight="1">
      <c r="A634" s="77" t="s">
        <v>318</v>
      </c>
      <c r="G634" s="78"/>
      <c r="H634" s="79"/>
      <c r="I634" s="80"/>
    </row>
    <row r="635" spans="1:12" ht="13.5" customHeight="1">
      <c r="A635" s="65"/>
      <c r="B635" s="57">
        <v>39326</v>
      </c>
      <c r="C635" s="60">
        <v>645000</v>
      </c>
      <c r="D635" s="58">
        <f>VLOOKUP(C635,Comptes!$A$2:$B$44,2,FALSE)</f>
        <v>0</v>
      </c>
      <c r="E635" s="59">
        <v>512000</v>
      </c>
      <c r="F635" s="58">
        <f>VLOOKUP(E635,Comptes!$A$2:$B$44,2,FALSE)</f>
        <v>0</v>
      </c>
      <c r="G635" s="59" t="s">
        <v>178</v>
      </c>
      <c r="H635" s="63" t="s">
        <v>319</v>
      </c>
      <c r="I635" s="61">
        <v>181</v>
      </c>
      <c r="J635" s="35"/>
      <c r="K635" s="54">
        <f aca="true" t="shared" si="7" ref="K635:K636">IF(OR(C635=530000,E635=530000),1,0)</f>
        <v>0</v>
      </c>
      <c r="L635" s="54">
        <f aca="true" t="shared" si="8" ref="L635:L636">IF(OR(C635=511200,E635=511200),1,0)</f>
        <v>0</v>
      </c>
    </row>
    <row r="636" spans="1:12" ht="13.5" customHeight="1">
      <c r="A636" s="65"/>
      <c r="B636" s="57">
        <v>39355</v>
      </c>
      <c r="C636" s="60">
        <v>645000</v>
      </c>
      <c r="D636" s="58">
        <f>VLOOKUP(C636,Comptes!$A$2:$B$44,2,FALSE)</f>
        <v>0</v>
      </c>
      <c r="E636" s="59">
        <v>512000</v>
      </c>
      <c r="F636" s="58">
        <f>VLOOKUP(E636,Comptes!$A$2:$B$44,2,FALSE)</f>
        <v>0</v>
      </c>
      <c r="G636" s="59" t="s">
        <v>178</v>
      </c>
      <c r="H636" s="63" t="s">
        <v>320</v>
      </c>
      <c r="I636" s="61">
        <v>181</v>
      </c>
      <c r="J636" s="35"/>
      <c r="K636" s="54">
        <f t="shared" si="7"/>
        <v>0</v>
      </c>
      <c r="L636" s="54">
        <f t="shared" si="8"/>
        <v>0</v>
      </c>
    </row>
  </sheetData>
  <sheetProtection selectLockedCells="1" selectUnlockedCells="1"/>
  <printOptions horizontalCentered="1"/>
  <pageMargins left="0.39375" right="0.39375" top="0.6319444444444444" bottom="0.39375" header="0.39375" footer="0.5118055555555555"/>
  <pageSetup horizontalDpi="300" verticalDpi="300" orientation="landscape" paperSize="9"/>
  <headerFooter alignWithMargins="0">
    <oddHeader>&amp;LEdition du &amp;D&amp;CComptabilité &amp;R&amp;F
Page &amp;P/&amp;N</oddHeader>
  </headerFooter>
</worksheet>
</file>

<file path=xl/worksheets/sheet4.xml><?xml version="1.0" encoding="utf-8"?>
<worksheet xmlns="http://schemas.openxmlformats.org/spreadsheetml/2006/main" xmlns:r="http://schemas.openxmlformats.org/officeDocument/2006/relationships">
  <dimension ref="A1:G29"/>
  <sheetViews>
    <sheetView workbookViewId="0" topLeftCell="A1">
      <selection activeCell="C27" sqref="C27"/>
    </sheetView>
  </sheetViews>
  <sheetFormatPr defaultColWidth="14.66015625" defaultRowHeight="11.25"/>
  <cols>
    <col min="1" max="5" width="13.83203125" style="0" customWidth="1"/>
    <col min="6" max="6" width="20.83203125" style="67" customWidth="1"/>
    <col min="7" max="7" width="14.83203125" style="67" customWidth="1"/>
    <col min="8" max="16384" width="13.83203125" style="0" customWidth="1"/>
  </cols>
  <sheetData>
    <row r="1" spans="1:7" s="84" customFormat="1" ht="21.75" customHeight="1">
      <c r="A1" s="81" t="s">
        <v>108</v>
      </c>
      <c r="B1" s="82" t="s">
        <v>321</v>
      </c>
      <c r="C1" s="82" t="s">
        <v>322</v>
      </c>
      <c r="D1" s="82" t="s">
        <v>323</v>
      </c>
      <c r="E1" s="82" t="s">
        <v>324</v>
      </c>
      <c r="F1" s="83" t="s">
        <v>325</v>
      </c>
      <c r="G1" s="83" t="s">
        <v>326</v>
      </c>
    </row>
    <row r="2" spans="1:7" s="54" customFormat="1" ht="13.5" customHeight="1">
      <c r="A2" s="85" t="s">
        <v>166</v>
      </c>
      <c r="B2" s="86">
        <f aca="true" t="shared" si="0" ref="B2:B25">SUMPRODUCT((BqReleve=$A2)*(BqCpteDebit=512000)*1,BqMontant)</f>
        <v>10140.269999999999</v>
      </c>
      <c r="C2" s="86">
        <f aca="true" t="shared" si="1" ref="C2:C25">SUMPRODUCT((BqReleve=$A2)*(BqCpteCredit=512000)*1,BqMontant)</f>
        <v>1989.21</v>
      </c>
      <c r="D2" s="86">
        <f aca="true" t="shared" si="2" ref="D2:D26">B2-C2</f>
        <v>8151.059999999999</v>
      </c>
      <c r="E2" s="86">
        <f>D2</f>
        <v>8151.059999999999</v>
      </c>
      <c r="F2" s="87">
        <v>8151.06</v>
      </c>
      <c r="G2" s="87">
        <f aca="true" t="shared" si="3" ref="G2:G25">E2-F2</f>
        <v>0</v>
      </c>
    </row>
    <row r="3" spans="1:7" s="54" customFormat="1" ht="13.5" customHeight="1">
      <c r="A3" s="85" t="s">
        <v>176</v>
      </c>
      <c r="B3" s="86">
        <f t="shared" si="0"/>
        <v>3068.85</v>
      </c>
      <c r="C3" s="86">
        <f t="shared" si="1"/>
        <v>1130.0299999999997</v>
      </c>
      <c r="D3" s="86">
        <f t="shared" si="2"/>
        <v>1938.8200000000002</v>
      </c>
      <c r="E3" s="86">
        <f aca="true" t="shared" si="4" ref="E3:E25">E2+D3</f>
        <v>10089.88</v>
      </c>
      <c r="F3" s="87">
        <v>10089.88</v>
      </c>
      <c r="G3" s="87">
        <f t="shared" si="3"/>
        <v>0</v>
      </c>
    </row>
    <row r="4" spans="1:7" s="54" customFormat="1" ht="13.5" customHeight="1">
      <c r="A4" s="85" t="s">
        <v>193</v>
      </c>
      <c r="B4" s="86">
        <f t="shared" si="0"/>
        <v>6845.54</v>
      </c>
      <c r="C4" s="86">
        <f t="shared" si="1"/>
        <v>6193.849999999999</v>
      </c>
      <c r="D4" s="86">
        <f t="shared" si="2"/>
        <v>651.6900000000005</v>
      </c>
      <c r="E4" s="86">
        <f t="shared" si="4"/>
        <v>10741.57</v>
      </c>
      <c r="F4" s="87">
        <v>10741.57</v>
      </c>
      <c r="G4" s="87">
        <f t="shared" si="3"/>
        <v>0</v>
      </c>
    </row>
    <row r="5" spans="1:7" s="54" customFormat="1" ht="13.5" customHeight="1">
      <c r="A5" s="85" t="s">
        <v>197</v>
      </c>
      <c r="B5" s="86">
        <f t="shared" si="0"/>
        <v>2807.15</v>
      </c>
      <c r="C5" s="86">
        <f t="shared" si="1"/>
        <v>1209.08</v>
      </c>
      <c r="D5" s="86">
        <f t="shared" si="2"/>
        <v>1598.0700000000002</v>
      </c>
      <c r="E5" s="86">
        <f t="shared" si="4"/>
        <v>12339.64</v>
      </c>
      <c r="F5" s="87">
        <v>12339.64</v>
      </c>
      <c r="G5" s="87">
        <f t="shared" si="3"/>
        <v>0</v>
      </c>
    </row>
    <row r="6" spans="1:7" s="54" customFormat="1" ht="13.5" customHeight="1">
      <c r="A6" s="85" t="s">
        <v>209</v>
      </c>
      <c r="B6" s="86">
        <f t="shared" si="0"/>
        <v>5457</v>
      </c>
      <c r="C6" s="86">
        <f t="shared" si="1"/>
        <v>4674.37</v>
      </c>
      <c r="D6" s="86">
        <f t="shared" si="2"/>
        <v>782.6300000000001</v>
      </c>
      <c r="E6" s="86">
        <f t="shared" si="4"/>
        <v>13122.27</v>
      </c>
      <c r="F6" s="87">
        <v>13122.27</v>
      </c>
      <c r="G6" s="87">
        <f t="shared" si="3"/>
        <v>0</v>
      </c>
    </row>
    <row r="7" spans="1:7" s="54" customFormat="1" ht="13.5" customHeight="1">
      <c r="A7" s="85" t="s">
        <v>222</v>
      </c>
      <c r="B7" s="86">
        <f t="shared" si="0"/>
        <v>1206</v>
      </c>
      <c r="C7" s="86">
        <f t="shared" si="1"/>
        <v>4213.29</v>
      </c>
      <c r="D7" s="86">
        <f t="shared" si="2"/>
        <v>-3007.29</v>
      </c>
      <c r="E7" s="86">
        <f t="shared" si="4"/>
        <v>10114.98</v>
      </c>
      <c r="F7" s="87">
        <v>10114.98</v>
      </c>
      <c r="G7" s="87">
        <f t="shared" si="3"/>
        <v>0</v>
      </c>
    </row>
    <row r="8" spans="1:7" s="54" customFormat="1" ht="13.5" customHeight="1">
      <c r="A8" s="85" t="s">
        <v>234</v>
      </c>
      <c r="B8" s="86">
        <f t="shared" si="0"/>
        <v>4990.389999999999</v>
      </c>
      <c r="C8" s="86">
        <f t="shared" si="1"/>
        <v>4151.49</v>
      </c>
      <c r="D8" s="86">
        <f t="shared" si="2"/>
        <v>838.8999999999996</v>
      </c>
      <c r="E8" s="86">
        <f t="shared" si="4"/>
        <v>10953.88</v>
      </c>
      <c r="F8" s="87">
        <v>10953.88</v>
      </c>
      <c r="G8" s="87">
        <f t="shared" si="3"/>
        <v>0</v>
      </c>
    </row>
    <row r="9" spans="1:7" s="54" customFormat="1" ht="13.5" customHeight="1">
      <c r="A9" s="85" t="s">
        <v>240</v>
      </c>
      <c r="B9" s="86">
        <f t="shared" si="0"/>
        <v>5082.61</v>
      </c>
      <c r="C9" s="86">
        <f t="shared" si="1"/>
        <v>660.66</v>
      </c>
      <c r="D9" s="86">
        <f t="shared" si="2"/>
        <v>4421.95</v>
      </c>
      <c r="E9" s="86">
        <f t="shared" si="4"/>
        <v>15375.829999999998</v>
      </c>
      <c r="F9" s="87">
        <v>15375.83</v>
      </c>
      <c r="G9" s="87">
        <f t="shared" si="3"/>
        <v>0</v>
      </c>
    </row>
    <row r="10" spans="1:7" s="54" customFormat="1" ht="13.5" customHeight="1">
      <c r="A10" s="85" t="s">
        <v>236</v>
      </c>
      <c r="B10" s="86">
        <f t="shared" si="0"/>
        <v>6900.23</v>
      </c>
      <c r="C10" s="86">
        <f t="shared" si="1"/>
        <v>9866.58</v>
      </c>
      <c r="D10" s="86">
        <f t="shared" si="2"/>
        <v>-2966.3500000000004</v>
      </c>
      <c r="E10" s="86">
        <f t="shared" si="4"/>
        <v>12409.479999999998</v>
      </c>
      <c r="F10" s="87">
        <v>12409.48</v>
      </c>
      <c r="G10" s="87">
        <f t="shared" si="3"/>
        <v>0</v>
      </c>
    </row>
    <row r="11" spans="1:7" s="54" customFormat="1" ht="13.5" customHeight="1">
      <c r="A11" s="85" t="s">
        <v>258</v>
      </c>
      <c r="B11" s="86">
        <f t="shared" si="0"/>
        <v>2425</v>
      </c>
      <c r="C11" s="86">
        <f t="shared" si="1"/>
        <v>6747.33</v>
      </c>
      <c r="D11" s="86">
        <f t="shared" si="2"/>
        <v>-4322.33</v>
      </c>
      <c r="E11" s="86">
        <f t="shared" si="4"/>
        <v>8087.149999999998</v>
      </c>
      <c r="F11" s="87">
        <v>8087.15</v>
      </c>
      <c r="G11" s="87">
        <f t="shared" si="3"/>
        <v>0</v>
      </c>
    </row>
    <row r="12" spans="1:7" s="54" customFormat="1" ht="13.5" customHeight="1">
      <c r="A12" s="85" t="s">
        <v>263</v>
      </c>
      <c r="B12" s="86">
        <f t="shared" si="0"/>
        <v>11657.18</v>
      </c>
      <c r="C12" s="86">
        <f t="shared" si="1"/>
        <v>15410.31</v>
      </c>
      <c r="D12" s="86">
        <f t="shared" si="2"/>
        <v>-3753.129999999999</v>
      </c>
      <c r="E12" s="86">
        <f t="shared" si="4"/>
        <v>4334.019999999999</v>
      </c>
      <c r="F12" s="87">
        <v>4334.02</v>
      </c>
      <c r="G12" s="87">
        <f t="shared" si="3"/>
        <v>0</v>
      </c>
    </row>
    <row r="13" spans="1:7" s="54" customFormat="1" ht="13.5" customHeight="1">
      <c r="A13" s="85" t="s">
        <v>276</v>
      </c>
      <c r="B13" s="86">
        <f t="shared" si="0"/>
        <v>3238</v>
      </c>
      <c r="C13" s="86">
        <f t="shared" si="1"/>
        <v>4791.43</v>
      </c>
      <c r="D13" s="86">
        <f t="shared" si="2"/>
        <v>-1553.4300000000003</v>
      </c>
      <c r="E13" s="86">
        <f t="shared" si="4"/>
        <v>2780.5899999999983</v>
      </c>
      <c r="F13" s="87">
        <v>2780.59</v>
      </c>
      <c r="G13" s="87">
        <f t="shared" si="3"/>
        <v>0</v>
      </c>
    </row>
    <row r="14" spans="1:7" s="54" customFormat="1" ht="13.5" customHeight="1">
      <c r="A14" s="85" t="s">
        <v>279</v>
      </c>
      <c r="B14" s="86">
        <f t="shared" si="0"/>
        <v>9988.15</v>
      </c>
      <c r="C14" s="86">
        <f t="shared" si="1"/>
        <v>4443.61</v>
      </c>
      <c r="D14" s="86">
        <f t="shared" si="2"/>
        <v>5544.54</v>
      </c>
      <c r="E14" s="86">
        <f t="shared" si="4"/>
        <v>8325.129999999997</v>
      </c>
      <c r="F14" s="87"/>
      <c r="G14" s="87">
        <f t="shared" si="3"/>
        <v>8325.129999999997</v>
      </c>
    </row>
    <row r="15" spans="1:7" s="54" customFormat="1" ht="13.5" customHeight="1">
      <c r="A15" s="85" t="s">
        <v>298</v>
      </c>
      <c r="B15" s="86">
        <f t="shared" si="0"/>
        <v>65.84</v>
      </c>
      <c r="C15" s="86">
        <f t="shared" si="1"/>
        <v>803.0400000000001</v>
      </c>
      <c r="D15" s="86">
        <f t="shared" si="2"/>
        <v>-737.2</v>
      </c>
      <c r="E15" s="86">
        <f t="shared" si="4"/>
        <v>7587.929999999998</v>
      </c>
      <c r="F15" s="87"/>
      <c r="G15" s="87">
        <f t="shared" si="3"/>
        <v>7587.929999999998</v>
      </c>
    </row>
    <row r="16" spans="1:7" s="54" customFormat="1" ht="13.5" customHeight="1">
      <c r="A16" s="85" t="s">
        <v>294</v>
      </c>
      <c r="B16" s="86">
        <f t="shared" si="0"/>
        <v>0</v>
      </c>
      <c r="C16" s="86">
        <f t="shared" si="1"/>
        <v>1496.21</v>
      </c>
      <c r="D16" s="86">
        <f t="shared" si="2"/>
        <v>-1496.21</v>
      </c>
      <c r="E16" s="86">
        <f t="shared" si="4"/>
        <v>6091.7199999999975</v>
      </c>
      <c r="F16" s="87"/>
      <c r="G16" s="87">
        <f t="shared" si="3"/>
        <v>6091.7199999999975</v>
      </c>
    </row>
    <row r="17" spans="1:7" s="54" customFormat="1" ht="13.5" customHeight="1">
      <c r="A17" s="85" t="s">
        <v>327</v>
      </c>
      <c r="B17" s="86">
        <f t="shared" si="0"/>
        <v>0</v>
      </c>
      <c r="C17" s="86">
        <f t="shared" si="1"/>
        <v>0</v>
      </c>
      <c r="D17" s="86">
        <f t="shared" si="2"/>
        <v>0</v>
      </c>
      <c r="E17" s="86">
        <f t="shared" si="4"/>
        <v>6091.7199999999975</v>
      </c>
      <c r="F17" s="87"/>
      <c r="G17" s="87">
        <f t="shared" si="3"/>
        <v>6091.7199999999975</v>
      </c>
    </row>
    <row r="18" spans="1:7" s="54" customFormat="1" ht="13.5" customHeight="1">
      <c r="A18" s="85" t="s">
        <v>307</v>
      </c>
      <c r="B18" s="86">
        <f t="shared" si="0"/>
        <v>0</v>
      </c>
      <c r="C18" s="86">
        <f t="shared" si="1"/>
        <v>1496.21</v>
      </c>
      <c r="D18" s="86">
        <f t="shared" si="2"/>
        <v>-1496.21</v>
      </c>
      <c r="E18" s="86">
        <f t="shared" si="4"/>
        <v>4595.5099999999975</v>
      </c>
      <c r="F18" s="87"/>
      <c r="G18" s="87">
        <f t="shared" si="3"/>
        <v>4595.5099999999975</v>
      </c>
    </row>
    <row r="19" spans="1:7" s="54" customFormat="1" ht="13.5" customHeight="1">
      <c r="A19" s="85" t="s">
        <v>328</v>
      </c>
      <c r="B19" s="86">
        <f t="shared" si="0"/>
        <v>0</v>
      </c>
      <c r="C19" s="86">
        <f t="shared" si="1"/>
        <v>0</v>
      </c>
      <c r="D19" s="86">
        <f t="shared" si="2"/>
        <v>0</v>
      </c>
      <c r="E19" s="86">
        <f t="shared" si="4"/>
        <v>4595.5099999999975</v>
      </c>
      <c r="F19" s="87"/>
      <c r="G19" s="87">
        <f t="shared" si="3"/>
        <v>4595.5099999999975</v>
      </c>
    </row>
    <row r="20" spans="1:7" s="54" customFormat="1" ht="13.5" customHeight="1">
      <c r="A20" s="85" t="s">
        <v>308</v>
      </c>
      <c r="B20" s="86">
        <f t="shared" si="0"/>
        <v>0</v>
      </c>
      <c r="C20" s="86">
        <f t="shared" si="1"/>
        <v>1496.21</v>
      </c>
      <c r="D20" s="86">
        <f t="shared" si="2"/>
        <v>-1496.21</v>
      </c>
      <c r="E20" s="86">
        <f t="shared" si="4"/>
        <v>3099.2999999999975</v>
      </c>
      <c r="F20" s="87"/>
      <c r="G20" s="87">
        <f t="shared" si="3"/>
        <v>3099.2999999999975</v>
      </c>
    </row>
    <row r="21" spans="1:7" s="54" customFormat="1" ht="13.5" customHeight="1">
      <c r="A21" s="85" t="s">
        <v>329</v>
      </c>
      <c r="B21" s="86">
        <f t="shared" si="0"/>
        <v>0</v>
      </c>
      <c r="C21" s="86">
        <f t="shared" si="1"/>
        <v>0</v>
      </c>
      <c r="D21" s="86">
        <f t="shared" si="2"/>
        <v>0</v>
      </c>
      <c r="E21" s="86">
        <f t="shared" si="4"/>
        <v>3099.2999999999975</v>
      </c>
      <c r="F21" s="87"/>
      <c r="G21" s="87">
        <f t="shared" si="3"/>
        <v>3099.2999999999975</v>
      </c>
    </row>
    <row r="22" spans="1:7" s="54" customFormat="1" ht="13.5" customHeight="1">
      <c r="A22" s="85" t="s">
        <v>309</v>
      </c>
      <c r="B22" s="86">
        <f t="shared" si="0"/>
        <v>0</v>
      </c>
      <c r="C22" s="86">
        <f t="shared" si="1"/>
        <v>1496.21</v>
      </c>
      <c r="D22" s="86">
        <f t="shared" si="2"/>
        <v>-1496.21</v>
      </c>
      <c r="E22" s="86">
        <f t="shared" si="4"/>
        <v>1603.0899999999974</v>
      </c>
      <c r="F22" s="87"/>
      <c r="G22" s="87">
        <f t="shared" si="3"/>
        <v>1603.0899999999974</v>
      </c>
    </row>
    <row r="23" spans="1:7" s="54" customFormat="1" ht="13.5" customHeight="1">
      <c r="A23" s="85" t="s">
        <v>330</v>
      </c>
      <c r="B23" s="86">
        <f t="shared" si="0"/>
        <v>0</v>
      </c>
      <c r="C23" s="86">
        <f t="shared" si="1"/>
        <v>0</v>
      </c>
      <c r="D23" s="86">
        <f t="shared" si="2"/>
        <v>0</v>
      </c>
      <c r="E23" s="86">
        <f t="shared" si="4"/>
        <v>1603.0899999999974</v>
      </c>
      <c r="F23" s="87"/>
      <c r="G23" s="87">
        <f t="shared" si="3"/>
        <v>1603.0899999999974</v>
      </c>
    </row>
    <row r="24" spans="1:7" s="54" customFormat="1" ht="13.5" customHeight="1">
      <c r="A24" s="85" t="s">
        <v>310</v>
      </c>
      <c r="B24" s="86">
        <f t="shared" si="0"/>
        <v>0</v>
      </c>
      <c r="C24" s="86">
        <f t="shared" si="1"/>
        <v>1496.21</v>
      </c>
      <c r="D24" s="86">
        <f t="shared" si="2"/>
        <v>-1496.21</v>
      </c>
      <c r="E24" s="86">
        <f t="shared" si="4"/>
        <v>106.87999999999738</v>
      </c>
      <c r="F24" s="87"/>
      <c r="G24" s="87">
        <f t="shared" si="3"/>
        <v>106.87999999999738</v>
      </c>
    </row>
    <row r="25" spans="1:7" s="88" customFormat="1" ht="13.5" customHeight="1">
      <c r="A25" s="85" t="s">
        <v>311</v>
      </c>
      <c r="B25" s="86">
        <f t="shared" si="0"/>
        <v>0</v>
      </c>
      <c r="C25" s="86">
        <f t="shared" si="1"/>
        <v>343.2</v>
      </c>
      <c r="D25" s="86">
        <f t="shared" si="2"/>
        <v>-343.2</v>
      </c>
      <c r="E25" s="86">
        <f t="shared" si="4"/>
        <v>-236.3200000000026</v>
      </c>
      <c r="F25" s="87"/>
      <c r="G25" s="87">
        <f t="shared" si="3"/>
        <v>-236.3200000000026</v>
      </c>
    </row>
    <row r="26" spans="1:7" s="93" customFormat="1" ht="13.5" customHeight="1">
      <c r="A26" s="89" t="s">
        <v>331</v>
      </c>
      <c r="B26" s="90">
        <f>SUMPRODUCT((BqCpteDebit=512000)*BqMontant)</f>
        <v>75022.20999999999</v>
      </c>
      <c r="C26" s="90">
        <f>SUMPRODUCT((BqCpteCredit=512000)*BqMontant)</f>
        <v>74108.52999999996</v>
      </c>
      <c r="D26" s="90">
        <f t="shared" si="2"/>
        <v>913.6800000000367</v>
      </c>
      <c r="E26" s="91"/>
      <c r="F26" s="92"/>
      <c r="G26" s="92"/>
    </row>
    <row r="27" spans="1:7" s="96" customFormat="1" ht="13.5" customHeight="1">
      <c r="A27" s="94" t="s">
        <v>332</v>
      </c>
      <c r="B27" s="95">
        <f>B26-SUM(B2:B25)</f>
        <v>1150</v>
      </c>
      <c r="C27" s="95">
        <f>C26-SUM(C2:C25)</f>
        <v>0</v>
      </c>
      <c r="D27" s="95">
        <f>D26-SUM(D2:D25)</f>
        <v>1150.0000000000393</v>
      </c>
      <c r="E27" s="95" t="s">
        <v>333</v>
      </c>
      <c r="F27" s="95"/>
      <c r="G27" s="95"/>
    </row>
    <row r="28" spans="1:7" s="54" customFormat="1" ht="13.5" customHeight="1">
      <c r="A28" s="97" t="s">
        <v>334</v>
      </c>
      <c r="B28" s="86"/>
      <c r="C28" s="86"/>
      <c r="D28" s="86"/>
      <c r="E28" s="86"/>
      <c r="F28" s="87"/>
      <c r="G28" s="87"/>
    </row>
    <row r="29" spans="1:7" s="54" customFormat="1" ht="13.5" customHeight="1">
      <c r="A29" s="69" t="s">
        <v>335</v>
      </c>
      <c r="B29" s="86"/>
      <c r="C29" s="86"/>
      <c r="D29" s="86"/>
      <c r="E29" s="86"/>
      <c r="F29" s="87"/>
      <c r="G29" s="87"/>
    </row>
  </sheetData>
  <sheetProtection selectLockedCells="1" selectUnlockedCells="1"/>
  <printOptions horizontalCentered="1"/>
  <pageMargins left="0.39375" right="0.39375" top="1.0368055555555555" bottom="0.39375" header="0.5902777777777778" footer="0.5118055555555555"/>
  <pageSetup horizontalDpi="300" verticalDpi="300" orientation="portrait" paperSize="9"/>
  <headerFooter alignWithMargins="0">
    <oddHeader>&amp;LEdition du &amp;D&amp;C&amp;"Arial,Gras"&amp;9Vérification du solde du compte bancaire&amp;R&amp;"Arial,Gras"&amp;9&amp;F
Page &amp;P/&amp;N</oddHeader>
  </headerFooter>
</worksheet>
</file>

<file path=xl/worksheets/sheet5.xml><?xml version="1.0" encoding="utf-8"?>
<worksheet xmlns="http://schemas.openxmlformats.org/spreadsheetml/2006/main" xmlns:r="http://schemas.openxmlformats.org/officeDocument/2006/relationships">
  <dimension ref="A1:M21"/>
  <sheetViews>
    <sheetView workbookViewId="0" topLeftCell="A1">
      <selection activeCell="C20" sqref="C20"/>
    </sheetView>
  </sheetViews>
  <sheetFormatPr defaultColWidth="12" defaultRowHeight="11.25"/>
  <cols>
    <col min="1" max="5" width="11.83203125" style="0" customWidth="1"/>
    <col min="6" max="6" width="9.66015625" style="0" customWidth="1"/>
    <col min="7" max="7" width="9.33203125" style="0" customWidth="1"/>
    <col min="8" max="8" width="12.16015625" style="98" customWidth="1"/>
    <col min="9" max="9" width="10" style="67" customWidth="1"/>
    <col min="10" max="10" width="8.16015625" style="99" customWidth="1"/>
    <col min="11" max="11" width="12" style="99" customWidth="1"/>
    <col min="12" max="12" width="16.83203125" style="100" customWidth="1"/>
    <col min="13" max="13" width="7.66015625" style="100" customWidth="1"/>
    <col min="14" max="16384" width="11.83203125" style="0" customWidth="1"/>
  </cols>
  <sheetData>
    <row r="1" spans="1:13" s="54" customFormat="1" ht="21.75">
      <c r="A1" s="101" t="s">
        <v>336</v>
      </c>
      <c r="B1" s="102" t="s">
        <v>337</v>
      </c>
      <c r="C1" s="82" t="s">
        <v>338</v>
      </c>
      <c r="D1" s="82" t="s">
        <v>339</v>
      </c>
      <c r="E1" s="82" t="s">
        <v>340</v>
      </c>
      <c r="F1" s="82" t="s">
        <v>341</v>
      </c>
      <c r="G1" s="103"/>
      <c r="H1" s="104" t="s">
        <v>342</v>
      </c>
      <c r="I1" s="105" t="s">
        <v>343</v>
      </c>
      <c r="J1" s="104" t="s">
        <v>344</v>
      </c>
      <c r="K1" s="104" t="s">
        <v>345</v>
      </c>
      <c r="L1" s="106"/>
      <c r="M1" s="106"/>
    </row>
    <row r="2" spans="1:13" s="54" customFormat="1" ht="15" customHeight="1">
      <c r="A2" s="107">
        <v>38991</v>
      </c>
      <c r="B2" s="108">
        <v>39000</v>
      </c>
      <c r="C2" s="86">
        <f aca="true" t="shared" si="0" ref="C2:C18">SUMPRODUCT((BDDDate&gt;=$A2)*(BDDDate&lt;=$B2)*(BDDCpteDebit=530000)*1,BDDMontant)</f>
        <v>383.84000000000003</v>
      </c>
      <c r="D2" s="86">
        <f aca="true" t="shared" si="1" ref="D2:D18">SUMPRODUCT((BDDDate&gt;=$A2)*(BDDDate&lt;=$B2)*(BDDCpteCredit=530000)*1,BDDMontant)</f>
        <v>63.37</v>
      </c>
      <c r="E2" s="86">
        <f aca="true" t="shared" si="2" ref="E2:E18">C2-D2</f>
        <v>320.47</v>
      </c>
      <c r="F2" s="86">
        <f>E2</f>
        <v>320.47</v>
      </c>
      <c r="G2" s="103"/>
      <c r="H2" s="56">
        <v>287.86</v>
      </c>
      <c r="I2" s="109">
        <v>91</v>
      </c>
      <c r="J2" s="56">
        <f aca="true" t="shared" si="3" ref="J2:J18">H2+I2-F2</f>
        <v>58.389999999999986</v>
      </c>
      <c r="K2" s="56"/>
      <c r="L2" s="106"/>
      <c r="M2" s="106"/>
    </row>
    <row r="3" spans="1:13" s="59" customFormat="1" ht="15" customHeight="1">
      <c r="A3" s="107">
        <f aca="true" t="shared" si="4" ref="A3:A18">B2+1</f>
        <v>39001</v>
      </c>
      <c r="B3" s="108">
        <v>39010</v>
      </c>
      <c r="C3" s="86">
        <f t="shared" si="0"/>
        <v>55</v>
      </c>
      <c r="D3" s="86">
        <f t="shared" si="1"/>
        <v>46.35</v>
      </c>
      <c r="E3" s="86">
        <f t="shared" si="2"/>
        <v>8.649999999999999</v>
      </c>
      <c r="F3" s="86">
        <f aca="true" t="shared" si="5" ref="F3:F18">F2+E3</f>
        <v>329.12</v>
      </c>
      <c r="G3" s="110"/>
      <c r="H3" s="56">
        <v>259.4</v>
      </c>
      <c r="I3" s="109">
        <v>91</v>
      </c>
      <c r="J3" s="56">
        <f t="shared" si="3"/>
        <v>21.279999999999973</v>
      </c>
      <c r="K3" s="56">
        <f aca="true" t="shared" si="6" ref="K3:K18">J3-J2</f>
        <v>-37.110000000000014</v>
      </c>
      <c r="L3" s="106" t="s">
        <v>346</v>
      </c>
      <c r="M3" s="106"/>
    </row>
    <row r="4" spans="1:13" s="59" customFormat="1" ht="15" customHeight="1">
      <c r="A4" s="107">
        <f t="shared" si="4"/>
        <v>39011</v>
      </c>
      <c r="B4" s="108">
        <v>39025</v>
      </c>
      <c r="C4" s="86">
        <f t="shared" si="0"/>
        <v>1440</v>
      </c>
      <c r="D4" s="86">
        <f t="shared" si="1"/>
        <v>171.31</v>
      </c>
      <c r="E4" s="86">
        <f t="shared" si="2"/>
        <v>1268.69</v>
      </c>
      <c r="F4" s="86">
        <f t="shared" si="5"/>
        <v>1597.81</v>
      </c>
      <c r="G4" s="110"/>
      <c r="H4" s="56">
        <v>1528.2</v>
      </c>
      <c r="I4" s="109">
        <v>91</v>
      </c>
      <c r="J4" s="56">
        <f t="shared" si="3"/>
        <v>21.3900000000001</v>
      </c>
      <c r="K4" s="56">
        <f t="shared" si="6"/>
        <v>0.11000000000012733</v>
      </c>
      <c r="L4" s="106"/>
      <c r="M4" s="106"/>
    </row>
    <row r="5" spans="1:13" s="54" customFormat="1" ht="15" customHeight="1">
      <c r="A5" s="107">
        <f t="shared" si="4"/>
        <v>39026</v>
      </c>
      <c r="B5" s="108">
        <v>39054</v>
      </c>
      <c r="C5" s="86">
        <f t="shared" si="0"/>
        <v>909.9</v>
      </c>
      <c r="D5" s="86">
        <f t="shared" si="1"/>
        <v>2249.26</v>
      </c>
      <c r="E5" s="86">
        <f t="shared" si="2"/>
        <v>-1339.3600000000001</v>
      </c>
      <c r="F5" s="86">
        <f t="shared" si="5"/>
        <v>258.4499999999998</v>
      </c>
      <c r="G5" s="103"/>
      <c r="H5" s="56">
        <v>255.92</v>
      </c>
      <c r="I5" s="109">
        <v>91</v>
      </c>
      <c r="J5" s="56">
        <f t="shared" si="3"/>
        <v>88.47000000000014</v>
      </c>
      <c r="K5" s="56">
        <f t="shared" si="6"/>
        <v>67.08000000000004</v>
      </c>
      <c r="L5" s="106" t="s">
        <v>346</v>
      </c>
      <c r="M5" s="106"/>
    </row>
    <row r="6" spans="1:13" s="54" customFormat="1" ht="15" customHeight="1">
      <c r="A6" s="107">
        <f t="shared" si="4"/>
        <v>39055</v>
      </c>
      <c r="B6" s="108">
        <v>39066</v>
      </c>
      <c r="C6" s="86">
        <f t="shared" si="0"/>
        <v>48</v>
      </c>
      <c r="D6" s="86">
        <f t="shared" si="1"/>
        <v>239.93</v>
      </c>
      <c r="E6" s="86">
        <f t="shared" si="2"/>
        <v>-191.93</v>
      </c>
      <c r="F6" s="86">
        <f t="shared" si="5"/>
        <v>66.51999999999981</v>
      </c>
      <c r="G6" s="103"/>
      <c r="H6" s="56">
        <v>94</v>
      </c>
      <c r="I6" s="109">
        <v>91</v>
      </c>
      <c r="J6" s="56">
        <f t="shared" si="3"/>
        <v>118.48000000000019</v>
      </c>
      <c r="K6" s="56">
        <f t="shared" si="6"/>
        <v>30.010000000000048</v>
      </c>
      <c r="L6" s="106" t="s">
        <v>346</v>
      </c>
      <c r="M6" s="106"/>
    </row>
    <row r="7" spans="1:13" s="54" customFormat="1" ht="15" customHeight="1">
      <c r="A7" s="107">
        <f t="shared" si="4"/>
        <v>39067</v>
      </c>
      <c r="B7" s="108">
        <v>39090</v>
      </c>
      <c r="C7" s="86">
        <f t="shared" si="0"/>
        <v>1069</v>
      </c>
      <c r="D7" s="86">
        <f t="shared" si="1"/>
        <v>486.99</v>
      </c>
      <c r="E7" s="86">
        <f t="shared" si="2"/>
        <v>582.01</v>
      </c>
      <c r="F7" s="86">
        <f t="shared" si="5"/>
        <v>648.5299999999997</v>
      </c>
      <c r="G7" s="103"/>
      <c r="H7" s="56">
        <v>675.32</v>
      </c>
      <c r="I7" s="109">
        <v>91</v>
      </c>
      <c r="J7" s="56">
        <f t="shared" si="3"/>
        <v>117.7900000000003</v>
      </c>
      <c r="K7" s="56">
        <f t="shared" si="6"/>
        <v>-0.689999999999884</v>
      </c>
      <c r="L7" s="106"/>
      <c r="M7" s="106"/>
    </row>
    <row r="8" spans="1:13" s="54" customFormat="1" ht="15" customHeight="1">
      <c r="A8" s="107">
        <f t="shared" si="4"/>
        <v>39091</v>
      </c>
      <c r="B8" s="108">
        <v>39119</v>
      </c>
      <c r="C8" s="86">
        <f t="shared" si="0"/>
        <v>611</v>
      </c>
      <c r="D8" s="86">
        <f t="shared" si="1"/>
        <v>1167.91</v>
      </c>
      <c r="E8" s="86">
        <f t="shared" si="2"/>
        <v>-556.9100000000001</v>
      </c>
      <c r="F8" s="86">
        <f t="shared" si="5"/>
        <v>91.61999999999966</v>
      </c>
      <c r="G8" s="103"/>
      <c r="H8" s="56">
        <v>118.4</v>
      </c>
      <c r="I8" s="109">
        <v>91</v>
      </c>
      <c r="J8" s="56">
        <f t="shared" si="3"/>
        <v>117.78000000000034</v>
      </c>
      <c r="K8" s="56">
        <f t="shared" si="6"/>
        <v>-0.009999999999962483</v>
      </c>
      <c r="L8" s="106"/>
      <c r="M8" s="106"/>
    </row>
    <row r="9" spans="1:13" s="54" customFormat="1" ht="15" customHeight="1">
      <c r="A9" s="107">
        <f t="shared" si="4"/>
        <v>39120</v>
      </c>
      <c r="B9" s="108">
        <v>39134</v>
      </c>
      <c r="C9" s="86">
        <f t="shared" si="0"/>
        <v>2953.06</v>
      </c>
      <c r="D9" s="86">
        <f t="shared" si="1"/>
        <v>2331.0600000000004</v>
      </c>
      <c r="E9" s="86">
        <f t="shared" si="2"/>
        <v>621.9999999999995</v>
      </c>
      <c r="F9" s="86">
        <f t="shared" si="5"/>
        <v>713.6199999999992</v>
      </c>
      <c r="G9" s="103"/>
      <c r="H9" s="56">
        <v>737.6</v>
      </c>
      <c r="I9" s="109">
        <v>91</v>
      </c>
      <c r="J9" s="56">
        <f t="shared" si="3"/>
        <v>114.98000000000081</v>
      </c>
      <c r="K9" s="56">
        <f t="shared" si="6"/>
        <v>-2.799999999999528</v>
      </c>
      <c r="L9" s="106"/>
      <c r="M9" s="106"/>
    </row>
    <row r="10" spans="1:13" s="54" customFormat="1" ht="15" customHeight="1">
      <c r="A10" s="107">
        <f t="shared" si="4"/>
        <v>39135</v>
      </c>
      <c r="B10" s="108">
        <v>39142</v>
      </c>
      <c r="C10" s="86">
        <f t="shared" si="0"/>
        <v>7</v>
      </c>
      <c r="D10" s="86">
        <f t="shared" si="1"/>
        <v>428.21999999999997</v>
      </c>
      <c r="E10" s="86">
        <f t="shared" si="2"/>
        <v>-421.21999999999997</v>
      </c>
      <c r="F10" s="86">
        <f t="shared" si="5"/>
        <v>292.39999999999924</v>
      </c>
      <c r="G10" s="103"/>
      <c r="H10" s="56">
        <v>316.55</v>
      </c>
      <c r="I10" s="109">
        <v>91</v>
      </c>
      <c r="J10" s="56">
        <f t="shared" si="3"/>
        <v>115.15000000000077</v>
      </c>
      <c r="K10" s="56">
        <f t="shared" si="6"/>
        <v>0.16999999999995907</v>
      </c>
      <c r="L10" s="106"/>
      <c r="M10" s="106"/>
    </row>
    <row r="11" spans="1:13" s="54" customFormat="1" ht="15" customHeight="1">
      <c r="A11" s="107">
        <f t="shared" si="4"/>
        <v>39143</v>
      </c>
      <c r="B11" s="108">
        <v>39154</v>
      </c>
      <c r="C11" s="86">
        <f t="shared" si="0"/>
        <v>657</v>
      </c>
      <c r="D11" s="86">
        <f t="shared" si="1"/>
        <v>680.6</v>
      </c>
      <c r="E11" s="86">
        <f t="shared" si="2"/>
        <v>-23.600000000000023</v>
      </c>
      <c r="F11" s="86">
        <f t="shared" si="5"/>
        <v>268.7999999999992</v>
      </c>
      <c r="G11" s="103"/>
      <c r="H11" s="56">
        <v>290.9</v>
      </c>
      <c r="I11" s="109">
        <v>91</v>
      </c>
      <c r="J11" s="56">
        <f t="shared" si="3"/>
        <v>113.10000000000076</v>
      </c>
      <c r="K11" s="56">
        <f t="shared" si="6"/>
        <v>-2.0500000000000114</v>
      </c>
      <c r="L11" s="106"/>
      <c r="M11" s="106"/>
    </row>
    <row r="12" spans="1:13" s="54" customFormat="1" ht="15" customHeight="1">
      <c r="A12" s="107">
        <f t="shared" si="4"/>
        <v>39155</v>
      </c>
      <c r="B12" s="108">
        <v>39170</v>
      </c>
      <c r="C12" s="86">
        <f t="shared" si="0"/>
        <v>531</v>
      </c>
      <c r="D12" s="86">
        <f t="shared" si="1"/>
        <v>462.08</v>
      </c>
      <c r="E12" s="86">
        <f t="shared" si="2"/>
        <v>68.92000000000002</v>
      </c>
      <c r="F12" s="86">
        <f t="shared" si="5"/>
        <v>337.71999999999923</v>
      </c>
      <c r="G12" s="103"/>
      <c r="H12" s="56">
        <v>359.82</v>
      </c>
      <c r="I12" s="109">
        <v>91</v>
      </c>
      <c r="J12" s="56">
        <f t="shared" si="3"/>
        <v>113.10000000000076</v>
      </c>
      <c r="K12" s="56">
        <f t="shared" si="6"/>
        <v>0</v>
      </c>
      <c r="L12" s="106"/>
      <c r="M12" s="106"/>
    </row>
    <row r="13" spans="1:13" s="54" customFormat="1" ht="15" customHeight="1">
      <c r="A13" s="107">
        <f t="shared" si="4"/>
        <v>39171</v>
      </c>
      <c r="B13" s="108">
        <v>39173</v>
      </c>
      <c r="C13" s="86">
        <f t="shared" si="0"/>
        <v>941</v>
      </c>
      <c r="D13" s="86">
        <f t="shared" si="1"/>
        <v>436.37000000000006</v>
      </c>
      <c r="E13" s="86">
        <f t="shared" si="2"/>
        <v>504.62999999999994</v>
      </c>
      <c r="F13" s="86">
        <f t="shared" si="5"/>
        <v>842.3499999999992</v>
      </c>
      <c r="G13" s="103"/>
      <c r="H13" s="56">
        <v>864.45</v>
      </c>
      <c r="I13" s="109">
        <v>91</v>
      </c>
      <c r="J13" s="56">
        <f t="shared" si="3"/>
        <v>113.10000000000082</v>
      </c>
      <c r="K13" s="56">
        <f t="shared" si="6"/>
        <v>0</v>
      </c>
      <c r="L13" s="106"/>
      <c r="M13" s="106"/>
    </row>
    <row r="14" spans="1:13" s="54" customFormat="1" ht="15" customHeight="1">
      <c r="A14" s="107">
        <f t="shared" si="4"/>
        <v>39174</v>
      </c>
      <c r="B14" s="108">
        <v>39180</v>
      </c>
      <c r="C14" s="86">
        <f t="shared" si="0"/>
        <v>1149.97</v>
      </c>
      <c r="D14" s="86">
        <f t="shared" si="1"/>
        <v>1681.38</v>
      </c>
      <c r="E14" s="86">
        <f t="shared" si="2"/>
        <v>-531.4100000000001</v>
      </c>
      <c r="F14" s="86">
        <f t="shared" si="5"/>
        <v>310.93999999999915</v>
      </c>
      <c r="G14" s="103"/>
      <c r="H14" s="56">
        <v>332.14</v>
      </c>
      <c r="I14" s="109">
        <v>91</v>
      </c>
      <c r="J14" s="56">
        <f t="shared" si="3"/>
        <v>112.20000000000084</v>
      </c>
      <c r="K14" s="56">
        <f t="shared" si="6"/>
        <v>-0.8999999999999773</v>
      </c>
      <c r="L14" s="106"/>
      <c r="M14" s="106"/>
    </row>
    <row r="15" spans="1:13" s="54" customFormat="1" ht="15" customHeight="1">
      <c r="A15" s="107">
        <f t="shared" si="4"/>
        <v>39181</v>
      </c>
      <c r="B15" s="108"/>
      <c r="C15" s="86">
        <f t="shared" si="0"/>
        <v>0</v>
      </c>
      <c r="D15" s="86">
        <f t="shared" si="1"/>
        <v>0</v>
      </c>
      <c r="E15" s="86">
        <f t="shared" si="2"/>
        <v>0</v>
      </c>
      <c r="F15" s="86">
        <f t="shared" si="5"/>
        <v>310.93999999999915</v>
      </c>
      <c r="G15" s="103"/>
      <c r="H15" s="56"/>
      <c r="I15" s="109">
        <v>91</v>
      </c>
      <c r="J15" s="56">
        <f t="shared" si="3"/>
        <v>-219.93999999999915</v>
      </c>
      <c r="K15" s="56">
        <f t="shared" si="6"/>
        <v>-332.14</v>
      </c>
      <c r="L15" s="106"/>
      <c r="M15" s="106"/>
    </row>
    <row r="16" spans="1:13" s="54" customFormat="1" ht="15" customHeight="1">
      <c r="A16" s="107">
        <f t="shared" si="4"/>
        <v>1</v>
      </c>
      <c r="B16" s="108"/>
      <c r="C16" s="86">
        <f t="shared" si="0"/>
        <v>0</v>
      </c>
      <c r="D16" s="86">
        <f t="shared" si="1"/>
        <v>0</v>
      </c>
      <c r="E16" s="86">
        <f t="shared" si="2"/>
        <v>0</v>
      </c>
      <c r="F16" s="86">
        <f t="shared" si="5"/>
        <v>310.93999999999915</v>
      </c>
      <c r="G16" s="103"/>
      <c r="H16" s="111"/>
      <c r="I16" s="109">
        <v>91</v>
      </c>
      <c r="J16" s="56">
        <f t="shared" si="3"/>
        <v>-219.93999999999915</v>
      </c>
      <c r="K16" s="56">
        <f t="shared" si="6"/>
        <v>0</v>
      </c>
      <c r="L16" s="106"/>
      <c r="M16" s="106"/>
    </row>
    <row r="17" spans="1:13" s="54" customFormat="1" ht="15" customHeight="1">
      <c r="A17" s="107">
        <f t="shared" si="4"/>
        <v>1</v>
      </c>
      <c r="B17" s="108"/>
      <c r="C17" s="86">
        <f t="shared" si="0"/>
        <v>0</v>
      </c>
      <c r="D17" s="86">
        <f t="shared" si="1"/>
        <v>0</v>
      </c>
      <c r="E17" s="86">
        <f t="shared" si="2"/>
        <v>0</v>
      </c>
      <c r="F17" s="86">
        <f t="shared" si="5"/>
        <v>310.93999999999915</v>
      </c>
      <c r="G17" s="103"/>
      <c r="H17" s="111"/>
      <c r="I17" s="109">
        <v>91</v>
      </c>
      <c r="J17" s="56">
        <f t="shared" si="3"/>
        <v>-219.93999999999915</v>
      </c>
      <c r="K17" s="56">
        <f t="shared" si="6"/>
        <v>0</v>
      </c>
      <c r="L17" s="106"/>
      <c r="M17" s="106"/>
    </row>
    <row r="18" spans="1:13" s="54" customFormat="1" ht="15" customHeight="1">
      <c r="A18" s="107">
        <f t="shared" si="4"/>
        <v>1</v>
      </c>
      <c r="B18" s="108"/>
      <c r="C18" s="86">
        <f t="shared" si="0"/>
        <v>0</v>
      </c>
      <c r="D18" s="86">
        <f t="shared" si="1"/>
        <v>0</v>
      </c>
      <c r="E18" s="86">
        <f t="shared" si="2"/>
        <v>0</v>
      </c>
      <c r="F18" s="86">
        <f t="shared" si="5"/>
        <v>310.93999999999915</v>
      </c>
      <c r="G18" s="103"/>
      <c r="H18" s="111"/>
      <c r="I18" s="109">
        <v>91</v>
      </c>
      <c r="J18" s="56">
        <f t="shared" si="3"/>
        <v>-219.93999999999915</v>
      </c>
      <c r="K18" s="56">
        <f t="shared" si="6"/>
        <v>0</v>
      </c>
      <c r="L18" s="106"/>
      <c r="M18" s="106"/>
    </row>
    <row r="19" spans="1:13" s="54" customFormat="1" ht="15" customHeight="1">
      <c r="A19" s="77" t="s">
        <v>347</v>
      </c>
      <c r="B19" s="108"/>
      <c r="C19" s="86"/>
      <c r="D19" s="86"/>
      <c r="E19" s="86"/>
      <c r="F19" s="86"/>
      <c r="G19" s="103"/>
      <c r="H19" s="111"/>
      <c r="I19" s="109"/>
      <c r="J19" s="56"/>
      <c r="K19" s="56"/>
      <c r="L19" s="106"/>
      <c r="M19" s="106"/>
    </row>
    <row r="20" spans="1:13" s="54" customFormat="1" ht="15" customHeight="1">
      <c r="A20" s="59"/>
      <c r="B20" s="108"/>
      <c r="C20" s="86"/>
      <c r="D20" s="86"/>
      <c r="E20" s="86"/>
      <c r="F20" s="86"/>
      <c r="G20" s="103"/>
      <c r="H20" s="111"/>
      <c r="I20" s="109"/>
      <c r="J20" s="56"/>
      <c r="K20" s="56"/>
      <c r="L20" s="106"/>
      <c r="M20" s="106"/>
    </row>
    <row r="21" spans="1:13" s="54" customFormat="1" ht="15" customHeight="1">
      <c r="A21" s="59"/>
      <c r="B21" s="108"/>
      <c r="C21" s="86"/>
      <c r="D21" s="86"/>
      <c r="E21" s="86"/>
      <c r="F21" s="86"/>
      <c r="G21" s="103"/>
      <c r="H21" s="111"/>
      <c r="I21" s="109"/>
      <c r="J21" s="56"/>
      <c r="K21" s="56"/>
      <c r="L21" s="106"/>
      <c r="M21" s="106"/>
    </row>
  </sheetData>
  <sheetProtection selectLockedCells="1" selectUnlockedCells="1"/>
  <printOptions horizontalCentered="1"/>
  <pageMargins left="0.39375" right="0.39375" top="1.20625" bottom="0.39375" header="0.5902777777777778" footer="0.5118055555555555"/>
  <pageSetup horizontalDpi="300" verticalDpi="300" orientation="portrait" paperSize="9"/>
  <headerFooter alignWithMargins="0">
    <oddHeader>&amp;LEdition du &amp;D&amp;C&amp;"Arial,Gras"Suivi de la caisse en espèces&amp;R&amp;"Arial,Gras"&amp;F
Page &amp;P/&amp;N</oddHeader>
  </headerFooter>
</worksheet>
</file>

<file path=xl/worksheets/sheet6.xml><?xml version="1.0" encoding="utf-8"?>
<worksheet xmlns="http://schemas.openxmlformats.org/spreadsheetml/2006/main" xmlns:r="http://schemas.openxmlformats.org/officeDocument/2006/relationships">
  <dimension ref="A1:IV75"/>
  <sheetViews>
    <sheetView workbookViewId="0" topLeftCell="A40">
      <selection activeCell="F64" sqref="F64"/>
    </sheetView>
  </sheetViews>
  <sheetFormatPr defaultColWidth="12" defaultRowHeight="11.25"/>
  <cols>
    <col min="1" max="1" width="5.33203125" style="0" customWidth="1"/>
    <col min="2" max="2" width="1.5" style="0" customWidth="1"/>
    <col min="3" max="3" width="6.83203125" style="0" customWidth="1"/>
    <col min="4" max="4" width="30.66015625" style="0" customWidth="1"/>
    <col min="5" max="5" width="11.5" style="0" customWidth="1"/>
    <col min="6" max="6" width="13.16015625" style="0" customWidth="1"/>
    <col min="7" max="7" width="5" style="67" customWidth="1"/>
    <col min="8" max="9" width="11.5" style="0" customWidth="1"/>
    <col min="10" max="16384" width="10.83203125" style="0" customWidth="1"/>
  </cols>
  <sheetData>
    <row r="1" spans="1:256" s="113" customFormat="1" ht="15.75" customHeight="1">
      <c r="A1" s="112" t="s">
        <v>348</v>
      </c>
      <c r="E1" s="114" t="s">
        <v>349</v>
      </c>
      <c r="F1" s="114" t="s">
        <v>350</v>
      </c>
      <c r="G1" s="115"/>
      <c r="H1" s="114" t="s">
        <v>350</v>
      </c>
      <c r="I1" s="114" t="s">
        <v>351</v>
      </c>
      <c r="IK1" s="116"/>
      <c r="IL1" s="116"/>
      <c r="IM1" s="116"/>
      <c r="IN1" s="116"/>
      <c r="IO1" s="116"/>
      <c r="IP1" s="116"/>
      <c r="IQ1" s="116"/>
      <c r="IR1"/>
      <c r="IS1"/>
      <c r="IT1"/>
      <c r="IU1"/>
      <c r="IV1"/>
    </row>
    <row r="2" spans="3:256" s="117" customFormat="1" ht="15.75" customHeight="1">
      <c r="C2" s="117">
        <v>210000</v>
      </c>
      <c r="D2" s="117">
        <f aca="true" t="shared" si="0" ref="D2:D3">VLOOKUP(C2,Liste_comptes,2,FALSE)</f>
        <v>0</v>
      </c>
      <c r="E2" s="118">
        <f>Comptes!E4</f>
        <v>67917.66</v>
      </c>
      <c r="F2" s="118">
        <f>Comptes!I4</f>
        <v>67151.66</v>
      </c>
      <c r="G2" s="119"/>
      <c r="H2" s="118">
        <v>67151.66</v>
      </c>
      <c r="I2" s="118">
        <v>67151.66</v>
      </c>
      <c r="IK2"/>
      <c r="IL2"/>
      <c r="IM2"/>
      <c r="IN2"/>
      <c r="IO2"/>
      <c r="IP2"/>
      <c r="IQ2"/>
      <c r="IR2"/>
      <c r="IS2"/>
      <c r="IT2"/>
      <c r="IU2"/>
      <c r="IV2"/>
    </row>
    <row r="3" spans="3:256" s="117" customFormat="1" ht="15.75" customHeight="1">
      <c r="C3" s="117">
        <v>281000</v>
      </c>
      <c r="D3" s="117">
        <f t="shared" si="0"/>
        <v>0</v>
      </c>
      <c r="E3" s="118">
        <f>Comptes!E5</f>
        <v>-62774.48</v>
      </c>
      <c r="F3" s="118">
        <f>Comptes!I5</f>
        <v>-59642.03</v>
      </c>
      <c r="G3" s="119"/>
      <c r="H3" s="118">
        <v>-62774.48</v>
      </c>
      <c r="I3" s="118">
        <v>-59642.03</v>
      </c>
      <c r="IK3"/>
      <c r="IL3"/>
      <c r="IM3"/>
      <c r="IN3"/>
      <c r="IO3"/>
      <c r="IP3"/>
      <c r="IQ3"/>
      <c r="IR3"/>
      <c r="IS3"/>
      <c r="IT3"/>
      <c r="IU3"/>
      <c r="IV3"/>
    </row>
    <row r="4" spans="2:256" s="120" customFormat="1" ht="15.75" customHeight="1">
      <c r="B4" s="120" t="s">
        <v>352</v>
      </c>
      <c r="E4" s="121">
        <f>SUM(E2:E3)</f>
        <v>5143.18</v>
      </c>
      <c r="F4" s="121">
        <f>SUM(F2:F3)</f>
        <v>7509.630000000005</v>
      </c>
      <c r="G4" s="122"/>
      <c r="H4" s="121">
        <f>SUM(H2:H3)</f>
        <v>4377.18</v>
      </c>
      <c r="I4" s="121">
        <f>SUM(I2:I3)</f>
        <v>7509.630000000005</v>
      </c>
      <c r="IK4"/>
      <c r="IL4"/>
      <c r="IM4"/>
      <c r="IN4"/>
      <c r="IO4"/>
      <c r="IP4"/>
      <c r="IQ4"/>
      <c r="IR4"/>
      <c r="IS4"/>
      <c r="IT4"/>
      <c r="IU4"/>
      <c r="IV4"/>
    </row>
    <row r="5" spans="3:256" s="117" customFormat="1" ht="15.75" customHeight="1">
      <c r="C5" s="117">
        <v>511200</v>
      </c>
      <c r="D5" s="117">
        <f>VLOOKUP(C5,Liste_comptes,2,FALSE)</f>
        <v>0</v>
      </c>
      <c r="E5" s="118">
        <f>Comptes!E8</f>
        <v>15580</v>
      </c>
      <c r="F5" s="118">
        <f>Comptes!I8</f>
        <v>636</v>
      </c>
      <c r="G5" s="119"/>
      <c r="H5" s="118">
        <v>836</v>
      </c>
      <c r="I5" s="118">
        <v>122</v>
      </c>
      <c r="IK5"/>
      <c r="IL5"/>
      <c r="IM5"/>
      <c r="IN5"/>
      <c r="IO5"/>
      <c r="IP5"/>
      <c r="IQ5"/>
      <c r="IR5"/>
      <c r="IS5"/>
      <c r="IT5"/>
      <c r="IU5"/>
      <c r="IV5"/>
    </row>
    <row r="6" spans="3:256" s="117" customFormat="1" ht="15.75" customHeight="1">
      <c r="C6" s="117">
        <v>512000</v>
      </c>
      <c r="D6" s="117" t="s">
        <v>108</v>
      </c>
      <c r="E6" s="118">
        <f>Comptes!E9</f>
        <v>8670.529999999984</v>
      </c>
      <c r="F6" s="118">
        <f>Comptes!I9</f>
        <v>9807.139999999978</v>
      </c>
      <c r="G6" s="119"/>
      <c r="H6" s="118">
        <v>5477.16</v>
      </c>
      <c r="I6" s="118">
        <v>5538.12</v>
      </c>
      <c r="IK6"/>
      <c r="IL6"/>
      <c r="IM6"/>
      <c r="IN6"/>
      <c r="IO6"/>
      <c r="IP6"/>
      <c r="IQ6"/>
      <c r="IR6"/>
      <c r="IS6"/>
      <c r="IT6"/>
      <c r="IU6"/>
      <c r="IV6"/>
    </row>
    <row r="7" spans="3:256" s="117" customFormat="1" ht="15.75" customHeight="1">
      <c r="C7" s="117">
        <v>512100</v>
      </c>
      <c r="D7" s="117" t="s">
        <v>353</v>
      </c>
      <c r="E7" s="118">
        <f>Comptes!E10</f>
        <v>6902.16</v>
      </c>
      <c r="F7" s="118">
        <f>Comptes!I10</f>
        <v>5775.84</v>
      </c>
      <c r="G7" s="119"/>
      <c r="H7" s="118">
        <v>5775.84</v>
      </c>
      <c r="I7" s="118">
        <v>5623.46</v>
      </c>
      <c r="IK7"/>
      <c r="IL7"/>
      <c r="IM7"/>
      <c r="IN7"/>
      <c r="IO7"/>
      <c r="IP7"/>
      <c r="IQ7"/>
      <c r="IR7"/>
      <c r="IS7"/>
      <c r="IT7"/>
      <c r="IU7"/>
      <c r="IV7"/>
    </row>
    <row r="8" spans="3:256" s="117" customFormat="1" ht="15.75" customHeight="1">
      <c r="C8" s="117">
        <v>530000</v>
      </c>
      <c r="D8" s="117" t="s">
        <v>354</v>
      </c>
      <c r="E8" s="118">
        <f>Comptes!E11</f>
        <v>310.9400000000005</v>
      </c>
      <c r="F8" s="118">
        <f>Comptes!I11</f>
        <v>870.9200000000019</v>
      </c>
      <c r="G8" s="119"/>
      <c r="H8" s="118">
        <v>237.84</v>
      </c>
      <c r="I8" s="118">
        <v>110.510000000006</v>
      </c>
      <c r="IK8"/>
      <c r="IL8"/>
      <c r="IM8"/>
      <c r="IN8"/>
      <c r="IO8"/>
      <c r="IP8"/>
      <c r="IQ8"/>
      <c r="IR8"/>
      <c r="IS8"/>
      <c r="IT8"/>
      <c r="IU8"/>
      <c r="IV8"/>
    </row>
    <row r="9" spans="2:256" s="123" customFormat="1" ht="15.75" customHeight="1">
      <c r="B9" s="123" t="s">
        <v>355</v>
      </c>
      <c r="E9" s="121">
        <f>SUM(E5:E8)</f>
        <v>31463.629999999983</v>
      </c>
      <c r="F9" s="121">
        <f>SUM(F5:F8)</f>
        <v>17089.89999999998</v>
      </c>
      <c r="G9" s="122"/>
      <c r="H9" s="121">
        <f>SUM(H5:H8)</f>
        <v>12326.84</v>
      </c>
      <c r="I9" s="121">
        <f>SUM(I5:I8)</f>
        <v>11394.090000000006</v>
      </c>
      <c r="IK9"/>
      <c r="IL9"/>
      <c r="IM9"/>
      <c r="IN9"/>
      <c r="IO9"/>
      <c r="IP9"/>
      <c r="IQ9"/>
      <c r="IR9"/>
      <c r="IS9"/>
      <c r="IT9"/>
      <c r="IU9"/>
      <c r="IV9"/>
    </row>
    <row r="10" spans="1:256" s="124" customFormat="1" ht="15.75" customHeight="1">
      <c r="A10" s="124" t="s">
        <v>356</v>
      </c>
      <c r="E10" s="125">
        <f>E9+E4</f>
        <v>36606.80999999998</v>
      </c>
      <c r="F10" s="125">
        <f>F9+F4</f>
        <v>24599.529999999984</v>
      </c>
      <c r="G10" s="126"/>
      <c r="H10" s="125">
        <f>H9+H4</f>
        <v>16704.02</v>
      </c>
      <c r="I10" s="125">
        <f>I9+I4</f>
        <v>18903.72000000001</v>
      </c>
      <c r="IK10" s="127"/>
      <c r="IL10" s="127"/>
      <c r="IM10" s="127"/>
      <c r="IN10" s="127"/>
      <c r="IO10" s="127"/>
      <c r="IP10" s="127"/>
      <c r="IQ10" s="127"/>
      <c r="IR10"/>
      <c r="IS10"/>
      <c r="IT10"/>
      <c r="IU10"/>
      <c r="IV10"/>
    </row>
    <row r="11" spans="1:256" s="131" customFormat="1" ht="15.75" customHeight="1">
      <c r="A11" s="128"/>
      <c r="B11"/>
      <c r="C11"/>
      <c r="D11"/>
      <c r="E11" s="129"/>
      <c r="F11" s="129"/>
      <c r="G11" s="130"/>
      <c r="H11" s="129"/>
      <c r="I11" s="129"/>
      <c r="IK11"/>
      <c r="IL11"/>
      <c r="IM11"/>
      <c r="IN11"/>
      <c r="IO11"/>
      <c r="IP11"/>
      <c r="IQ11"/>
      <c r="IR11"/>
      <c r="IS11"/>
      <c r="IT11"/>
      <c r="IU11"/>
      <c r="IV11"/>
    </row>
    <row r="12" spans="1:256" s="131" customFormat="1" ht="15.75" customHeight="1">
      <c r="A12" s="131" t="s">
        <v>357</v>
      </c>
      <c r="B12"/>
      <c r="C12"/>
      <c r="D12"/>
      <c r="E12" s="132">
        <f>E10-E21</f>
        <v>0</v>
      </c>
      <c r="F12" s="132">
        <f>F10-F21</f>
        <v>0</v>
      </c>
      <c r="G12" s="133"/>
      <c r="H12" s="132">
        <f>H10-H21</f>
        <v>0</v>
      </c>
      <c r="I12" s="132">
        <f>I10-I21</f>
        <v>0</v>
      </c>
      <c r="IK12"/>
      <c r="IL12"/>
      <c r="IM12"/>
      <c r="IN12"/>
      <c r="IO12"/>
      <c r="IP12"/>
      <c r="IQ12"/>
      <c r="IR12"/>
      <c r="IS12"/>
      <c r="IT12"/>
      <c r="IU12"/>
      <c r="IV12"/>
    </row>
    <row r="13" spans="5:256" s="134" customFormat="1" ht="15.75" customHeight="1">
      <c r="E13" s="135"/>
      <c r="F13" s="135"/>
      <c r="G13" s="136"/>
      <c r="H13" s="135"/>
      <c r="I13" s="135"/>
      <c r="IK13"/>
      <c r="IL13"/>
      <c r="IM13"/>
      <c r="IN13"/>
      <c r="IO13"/>
      <c r="IP13"/>
      <c r="IQ13"/>
      <c r="IR13"/>
      <c r="IS13"/>
      <c r="IT13"/>
      <c r="IU13"/>
      <c r="IV13"/>
    </row>
    <row r="14" spans="5:256" s="117" customFormat="1" ht="15.75" customHeight="1">
      <c r="E14" s="137"/>
      <c r="F14" s="137"/>
      <c r="G14" s="138"/>
      <c r="H14" s="137"/>
      <c r="I14" s="137"/>
      <c r="IK14"/>
      <c r="IL14"/>
      <c r="IM14"/>
      <c r="IN14"/>
      <c r="IO14"/>
      <c r="IP14"/>
      <c r="IQ14"/>
      <c r="IR14"/>
      <c r="IS14"/>
      <c r="IT14"/>
      <c r="IU14"/>
      <c r="IV14"/>
    </row>
    <row r="15" spans="3:256" s="117" customFormat="1" ht="15.75" customHeight="1">
      <c r="C15" s="117">
        <v>110000</v>
      </c>
      <c r="D15" s="117">
        <f>VLOOKUP(C15,Liste_comptes,2,FALSE)</f>
        <v>0</v>
      </c>
      <c r="E15" s="118">
        <f>-Comptes!E2</f>
        <v>13783.51999999996</v>
      </c>
      <c r="F15" s="118">
        <f>-Comptes!I2</f>
        <v>10703.92</v>
      </c>
      <c r="G15" s="119"/>
      <c r="H15" s="118">
        <v>10703.92</v>
      </c>
      <c r="I15" s="118">
        <v>18993.52</v>
      </c>
      <c r="IK15"/>
      <c r="IL15"/>
      <c r="IM15"/>
      <c r="IN15"/>
      <c r="IO15"/>
      <c r="IP15"/>
      <c r="IQ15"/>
      <c r="IR15"/>
      <c r="IS15"/>
      <c r="IT15"/>
      <c r="IU15"/>
      <c r="IV15"/>
    </row>
    <row r="16" spans="3:256" s="117" customFormat="1" ht="15.75" customHeight="1">
      <c r="C16" s="117">
        <v>120000</v>
      </c>
      <c r="D16" s="117" t="s">
        <v>358</v>
      </c>
      <c r="E16" s="118">
        <f>E58</f>
        <v>22823.290000000008</v>
      </c>
      <c r="F16" s="118">
        <f>F58</f>
        <v>13895.610000000008</v>
      </c>
      <c r="G16" s="119"/>
      <c r="H16" s="118">
        <v>3079.59999999996</v>
      </c>
      <c r="I16" s="118">
        <v>-8289.59999999999</v>
      </c>
      <c r="IK16"/>
      <c r="IL16"/>
      <c r="IM16"/>
      <c r="IN16"/>
      <c r="IO16"/>
      <c r="IP16"/>
      <c r="IQ16"/>
      <c r="IR16"/>
      <c r="IS16"/>
      <c r="IT16"/>
      <c r="IU16"/>
      <c r="IV16"/>
    </row>
    <row r="17" spans="2:256" s="123" customFormat="1" ht="15.75" customHeight="1">
      <c r="B17" s="123" t="s">
        <v>359</v>
      </c>
      <c r="E17" s="121">
        <f>SUM(E15:E16)</f>
        <v>36606.80999999997</v>
      </c>
      <c r="F17" s="121">
        <f>SUM(F15:F16)</f>
        <v>24599.530000000006</v>
      </c>
      <c r="G17" s="122"/>
      <c r="H17" s="121">
        <f>SUM(H15:H16)</f>
        <v>13783.51999999996</v>
      </c>
      <c r="I17" s="121">
        <f>SUM(I15:I16)</f>
        <v>10703.920000000011</v>
      </c>
      <c r="IK17"/>
      <c r="IL17"/>
      <c r="IM17"/>
      <c r="IN17"/>
      <c r="IO17"/>
      <c r="IP17"/>
      <c r="IQ17"/>
      <c r="IR17"/>
      <c r="IS17"/>
      <c r="IT17"/>
      <c r="IU17"/>
      <c r="IV17"/>
    </row>
    <row r="18" spans="3:256" s="117" customFormat="1" ht="15.75" customHeight="1">
      <c r="C18" s="117">
        <v>430000</v>
      </c>
      <c r="D18" s="117">
        <f aca="true" t="shared" si="1" ref="D18:D19">VLOOKUP(C18,Liste_comptes,2,FALSE)</f>
        <v>0</v>
      </c>
      <c r="E18" s="118">
        <f>-Comptes!E6</f>
        <v>0</v>
      </c>
      <c r="F18" s="118">
        <f>Comptes!I6</f>
        <v>0</v>
      </c>
      <c r="G18" s="119"/>
      <c r="H18" s="118">
        <v>0</v>
      </c>
      <c r="I18" s="118">
        <v>2661</v>
      </c>
      <c r="IK18"/>
      <c r="IL18"/>
      <c r="IM18"/>
      <c r="IN18"/>
      <c r="IO18"/>
      <c r="IP18"/>
      <c r="IQ18"/>
      <c r="IR18"/>
      <c r="IS18"/>
      <c r="IT18"/>
      <c r="IU18"/>
      <c r="IV18"/>
    </row>
    <row r="19" spans="3:256" s="117" customFormat="1" ht="15.75" customHeight="1">
      <c r="C19" s="117">
        <v>468600</v>
      </c>
      <c r="D19" s="117">
        <f t="shared" si="1"/>
        <v>0</v>
      </c>
      <c r="E19" s="118">
        <f>-Comptes!E7</f>
        <v>0</v>
      </c>
      <c r="F19" s="118">
        <f>-Comptes!I7</f>
        <v>0</v>
      </c>
      <c r="G19" s="119"/>
      <c r="H19" s="118">
        <v>2920.5</v>
      </c>
      <c r="I19" s="118">
        <v>5538.8</v>
      </c>
      <c r="IK19"/>
      <c r="IL19"/>
      <c r="IM19"/>
      <c r="IN19"/>
      <c r="IO19"/>
      <c r="IP19"/>
      <c r="IQ19"/>
      <c r="IR19"/>
      <c r="IS19"/>
      <c r="IT19"/>
      <c r="IU19"/>
      <c r="IV19"/>
    </row>
    <row r="20" spans="2:256" s="123" customFormat="1" ht="15.75" customHeight="1">
      <c r="B20" s="123" t="s">
        <v>360</v>
      </c>
      <c r="E20" s="121">
        <f>SUM(E18:E19)</f>
        <v>0</v>
      </c>
      <c r="F20" s="121">
        <f>SUM(F18:F19)</f>
        <v>0</v>
      </c>
      <c r="G20" s="122"/>
      <c r="H20" s="121">
        <f>SUM(H18:H19)</f>
        <v>2920.5</v>
      </c>
      <c r="I20" s="121">
        <f>SUM(I18:I19)</f>
        <v>8199.8</v>
      </c>
      <c r="IK20"/>
      <c r="IL20"/>
      <c r="IM20"/>
      <c r="IN20"/>
      <c r="IO20"/>
      <c r="IP20"/>
      <c r="IQ20"/>
      <c r="IR20"/>
      <c r="IS20"/>
      <c r="IT20"/>
      <c r="IU20"/>
      <c r="IV20"/>
    </row>
    <row r="21" spans="1:256" s="124" customFormat="1" ht="15.75" customHeight="1">
      <c r="A21" s="124" t="s">
        <v>361</v>
      </c>
      <c r="E21" s="125">
        <f>E17+E20</f>
        <v>36606.80999999997</v>
      </c>
      <c r="F21" s="125">
        <f>F17+F20</f>
        <v>24599.530000000006</v>
      </c>
      <c r="G21" s="126"/>
      <c r="H21" s="125">
        <f>H17+H20</f>
        <v>16704.01999999996</v>
      </c>
      <c r="I21" s="125">
        <f>I17+I20</f>
        <v>18903.72000000001</v>
      </c>
      <c r="IK21" s="127"/>
      <c r="IL21" s="127"/>
      <c r="IM21" s="127"/>
      <c r="IN21" s="127"/>
      <c r="IO21" s="127"/>
      <c r="IP21" s="127"/>
      <c r="IQ21" s="127"/>
      <c r="IR21"/>
      <c r="IS21"/>
      <c r="IT21"/>
      <c r="IU21"/>
      <c r="IV21"/>
    </row>
    <row r="22" spans="5:256" s="134" customFormat="1" ht="15.75" customHeight="1">
      <c r="E22" s="135"/>
      <c r="F22" s="135"/>
      <c r="G22" s="136"/>
      <c r="H22" s="135"/>
      <c r="I22" s="135"/>
      <c r="IK22"/>
      <c r="IL22"/>
      <c r="IM22"/>
      <c r="IN22"/>
      <c r="IO22"/>
      <c r="IP22"/>
      <c r="IQ22"/>
      <c r="IR22"/>
      <c r="IS22"/>
      <c r="IT22"/>
      <c r="IU22"/>
      <c r="IV22"/>
    </row>
    <row r="23" spans="5:256" s="134" customFormat="1" ht="15.75" customHeight="1">
      <c r="E23" s="135"/>
      <c r="F23" s="135"/>
      <c r="G23" s="136"/>
      <c r="H23" s="135"/>
      <c r="I23" s="135"/>
      <c r="IK23"/>
      <c r="IL23"/>
      <c r="IM23"/>
      <c r="IN23"/>
      <c r="IO23"/>
      <c r="IP23"/>
      <c r="IQ23"/>
      <c r="IR23"/>
      <c r="IS23"/>
      <c r="IT23"/>
      <c r="IU23"/>
      <c r="IV23"/>
    </row>
    <row r="24" spans="1:256" s="113" customFormat="1" ht="13.5" customHeight="1">
      <c r="A24" s="139" t="s">
        <v>362</v>
      </c>
      <c r="E24" s="114" t="s">
        <v>349</v>
      </c>
      <c r="F24" s="114" t="s">
        <v>350</v>
      </c>
      <c r="G24" s="115"/>
      <c r="H24" s="114" t="s">
        <v>350</v>
      </c>
      <c r="I24" s="114" t="s">
        <v>351</v>
      </c>
      <c r="IK24" s="116"/>
      <c r="IL24" s="116"/>
      <c r="IM24" s="116"/>
      <c r="IN24" s="116"/>
      <c r="IO24" s="116"/>
      <c r="IP24" s="116"/>
      <c r="IQ24" s="116"/>
      <c r="IR24"/>
      <c r="IS24"/>
      <c r="IT24"/>
      <c r="IU24"/>
      <c r="IV24"/>
    </row>
    <row r="25" spans="1:256" s="117" customFormat="1" ht="13.5" customHeight="1">
      <c r="A25" s="140">
        <f aca="true" t="shared" si="2" ref="A25:A33">E25/H25</f>
        <v>0.7035235030997411</v>
      </c>
      <c r="C25" s="117">
        <v>706100</v>
      </c>
      <c r="D25" s="117">
        <f aca="true" t="shared" si="3" ref="D25:D35">VLOOKUP(C25,Liste_comptes,2,FALSE)</f>
        <v>0</v>
      </c>
      <c r="E25" s="118">
        <f>-Comptes!E32</f>
        <v>3586</v>
      </c>
      <c r="F25" s="118">
        <f>-Comptes!I32</f>
        <v>3959.5</v>
      </c>
      <c r="G25" s="119"/>
      <c r="H25" s="118">
        <v>5097.2</v>
      </c>
      <c r="I25" s="118">
        <v>5863</v>
      </c>
      <c r="IK25"/>
      <c r="IL25"/>
      <c r="IM25"/>
      <c r="IN25"/>
      <c r="IO25"/>
      <c r="IP25"/>
      <c r="IQ25"/>
      <c r="IR25"/>
      <c r="IS25"/>
      <c r="IT25"/>
      <c r="IU25"/>
      <c r="IV25"/>
    </row>
    <row r="26" spans="1:256" s="117" customFormat="1" ht="13.5" customHeight="1">
      <c r="A26" s="140">
        <f t="shared" si="2"/>
        <v>0.5331437355110379</v>
      </c>
      <c r="C26" s="117">
        <v>706210</v>
      </c>
      <c r="D26" s="117">
        <f t="shared" si="3"/>
        <v>0</v>
      </c>
      <c r="E26" s="118">
        <f>-Comptes!E33</f>
        <v>10648</v>
      </c>
      <c r="F26" s="118">
        <f>-Comptes!I33</f>
        <v>9684</v>
      </c>
      <c r="G26" s="119"/>
      <c r="H26" s="118">
        <v>19972.1</v>
      </c>
      <c r="I26" s="118">
        <v>15571.1</v>
      </c>
      <c r="IK26"/>
      <c r="IL26"/>
      <c r="IM26"/>
      <c r="IN26"/>
      <c r="IO26"/>
      <c r="IP26"/>
      <c r="IQ26"/>
      <c r="IR26"/>
      <c r="IS26"/>
      <c r="IT26"/>
      <c r="IU26"/>
      <c r="IV26"/>
    </row>
    <row r="27" spans="1:256" s="117" customFormat="1" ht="13.5" customHeight="1">
      <c r="A27" s="140">
        <f t="shared" si="2"/>
        <v>0.6544981022070628</v>
      </c>
      <c r="C27" s="117">
        <v>706220</v>
      </c>
      <c r="D27" s="117">
        <f t="shared" si="3"/>
        <v>0</v>
      </c>
      <c r="E27" s="118">
        <f>-Comptes!E34</f>
        <v>8846</v>
      </c>
      <c r="F27" s="118">
        <f>-Comptes!I34</f>
        <v>7299</v>
      </c>
      <c r="G27" s="119"/>
      <c r="H27" s="118">
        <v>13515.7</v>
      </c>
      <c r="I27" s="118">
        <v>10671</v>
      </c>
      <c r="IK27"/>
      <c r="IL27"/>
      <c r="IM27"/>
      <c r="IN27"/>
      <c r="IO27"/>
      <c r="IP27"/>
      <c r="IQ27"/>
      <c r="IR27"/>
      <c r="IS27"/>
      <c r="IT27"/>
      <c r="IU27"/>
      <c r="IV27"/>
    </row>
    <row r="28" spans="1:256" s="117" customFormat="1" ht="13.5" customHeight="1">
      <c r="A28" s="140">
        <f t="shared" si="2"/>
        <v>0.5611553554197491</v>
      </c>
      <c r="C28" s="117">
        <v>706230</v>
      </c>
      <c r="D28" s="117">
        <f t="shared" si="3"/>
        <v>0</v>
      </c>
      <c r="E28" s="118">
        <f>-Comptes!E35</f>
        <v>21807.9</v>
      </c>
      <c r="F28" s="118">
        <f>-Comptes!I35</f>
        <v>22482</v>
      </c>
      <c r="G28" s="119"/>
      <c r="H28" s="118">
        <v>38862.5</v>
      </c>
      <c r="I28" s="118">
        <v>28786</v>
      </c>
      <c r="IK28"/>
      <c r="IL28"/>
      <c r="IM28"/>
      <c r="IN28"/>
      <c r="IO28"/>
      <c r="IP28"/>
      <c r="IQ28"/>
      <c r="IR28"/>
      <c r="IS28"/>
      <c r="IT28"/>
      <c r="IU28"/>
      <c r="IV28"/>
    </row>
    <row r="29" spans="1:256" s="117" customFormat="1" ht="13.5" customHeight="1">
      <c r="A29" s="140">
        <f t="shared" si="2"/>
        <v>0.14311635866295064</v>
      </c>
      <c r="C29" s="117">
        <v>706320</v>
      </c>
      <c r="D29" s="117">
        <f t="shared" si="3"/>
        <v>0</v>
      </c>
      <c r="E29" s="118">
        <f>-Comptes!E36</f>
        <v>1524.62</v>
      </c>
      <c r="F29" s="118">
        <f>-Comptes!I36</f>
        <v>3447.6800000000003</v>
      </c>
      <c r="G29" s="119"/>
      <c r="H29" s="118">
        <v>10653.01</v>
      </c>
      <c r="I29" s="118">
        <v>8834.72</v>
      </c>
      <c r="IK29"/>
      <c r="IL29"/>
      <c r="IM29"/>
      <c r="IN29"/>
      <c r="IO29"/>
      <c r="IP29"/>
      <c r="IQ29"/>
      <c r="IR29"/>
      <c r="IS29"/>
      <c r="IT29"/>
      <c r="IU29"/>
      <c r="IV29"/>
    </row>
    <row r="30" spans="1:256" s="117" customFormat="1" ht="13.5" customHeight="1">
      <c r="A30" s="140">
        <f t="shared" si="2"/>
        <v>1.285456208087787</v>
      </c>
      <c r="C30" s="117">
        <v>706420</v>
      </c>
      <c r="D30" s="117">
        <f t="shared" si="3"/>
        <v>0</v>
      </c>
      <c r="E30" s="118">
        <f>-Comptes!E37</f>
        <v>6325.73</v>
      </c>
      <c r="F30" s="118">
        <f>-Comptes!I37</f>
        <v>3811.4100000000003</v>
      </c>
      <c r="G30" s="119"/>
      <c r="H30" s="118">
        <v>4921</v>
      </c>
      <c r="I30" s="118">
        <v>5292.06</v>
      </c>
      <c r="IK30"/>
      <c r="IL30"/>
      <c r="IM30"/>
      <c r="IN30"/>
      <c r="IO30"/>
      <c r="IP30"/>
      <c r="IQ30"/>
      <c r="IR30"/>
      <c r="IS30"/>
      <c r="IT30"/>
      <c r="IU30"/>
      <c r="IV30"/>
    </row>
    <row r="31" spans="1:256" s="117" customFormat="1" ht="13.5" customHeight="1">
      <c r="A31" s="140">
        <f t="shared" si="2"/>
        <v>0.6281287246722288</v>
      </c>
      <c r="C31" s="117">
        <v>708000</v>
      </c>
      <c r="D31" s="117">
        <f t="shared" si="3"/>
        <v>0</v>
      </c>
      <c r="E31" s="118">
        <f>-Comptes!E38</f>
        <v>1054</v>
      </c>
      <c r="F31" s="118">
        <f>-Comptes!I38</f>
        <v>1097</v>
      </c>
      <c r="G31" s="119"/>
      <c r="H31" s="118">
        <v>1678</v>
      </c>
      <c r="I31" s="118">
        <v>1573</v>
      </c>
      <c r="IK31"/>
      <c r="IL31"/>
      <c r="IM31"/>
      <c r="IN31"/>
      <c r="IO31"/>
      <c r="IP31"/>
      <c r="IQ31"/>
      <c r="IR31"/>
      <c r="IS31"/>
      <c r="IT31"/>
      <c r="IU31"/>
      <c r="IV31"/>
    </row>
    <row r="32" spans="1:256" s="117" customFormat="1" ht="13.5" customHeight="1">
      <c r="A32" s="140">
        <f t="shared" si="2"/>
        <v>0.5574536314340878</v>
      </c>
      <c r="C32" s="117">
        <v>754000</v>
      </c>
      <c r="D32" s="117">
        <f t="shared" si="3"/>
        <v>0</v>
      </c>
      <c r="E32" s="118">
        <f>-Comptes!E39</f>
        <v>8684.859999999999</v>
      </c>
      <c r="F32" s="118">
        <f>-Comptes!I39</f>
        <v>10549.419999999998</v>
      </c>
      <c r="G32" s="119"/>
      <c r="H32" s="118">
        <v>15579.52</v>
      </c>
      <c r="I32" s="118">
        <v>16436.18</v>
      </c>
      <c r="IK32"/>
      <c r="IL32"/>
      <c r="IM32"/>
      <c r="IN32"/>
      <c r="IO32"/>
      <c r="IP32"/>
      <c r="IQ32"/>
      <c r="IR32"/>
      <c r="IS32"/>
      <c r="IT32"/>
      <c r="IU32"/>
      <c r="IV32"/>
    </row>
    <row r="33" spans="1:256" s="117" customFormat="1" ht="13.5" customHeight="1">
      <c r="A33" s="140">
        <f t="shared" si="2"/>
        <v>0.6138649860622954</v>
      </c>
      <c r="C33" s="117">
        <v>756000</v>
      </c>
      <c r="D33" s="117">
        <f t="shared" si="3"/>
        <v>0</v>
      </c>
      <c r="E33" s="118">
        <f>-Comptes!E40</f>
        <v>5065</v>
      </c>
      <c r="F33" s="118">
        <f>-Comptes!I40</f>
        <v>5558</v>
      </c>
      <c r="G33" s="119"/>
      <c r="H33" s="118">
        <v>8251</v>
      </c>
      <c r="I33" s="118">
        <v>6719</v>
      </c>
      <c r="IK33"/>
      <c r="IL33"/>
      <c r="IM33"/>
      <c r="IN33"/>
      <c r="IO33"/>
      <c r="IP33"/>
      <c r="IQ33"/>
      <c r="IR33"/>
      <c r="IS33"/>
      <c r="IT33"/>
      <c r="IU33"/>
      <c r="IV33"/>
    </row>
    <row r="34" spans="1:256" s="117" customFormat="1" ht="13.5" customHeight="1">
      <c r="A34" s="140"/>
      <c r="C34" s="117">
        <v>758000</v>
      </c>
      <c r="D34" s="117">
        <f t="shared" si="3"/>
        <v>0</v>
      </c>
      <c r="E34" s="118">
        <f>-Comptes!E41</f>
        <v>2596.0299999999997</v>
      </c>
      <c r="F34" s="118">
        <f>-Comptes!I41</f>
        <v>41</v>
      </c>
      <c r="G34" s="119"/>
      <c r="H34" s="118">
        <v>92.14</v>
      </c>
      <c r="I34" s="118">
        <v>93.1</v>
      </c>
      <c r="IK34"/>
      <c r="IL34"/>
      <c r="IM34"/>
      <c r="IN34"/>
      <c r="IO34"/>
      <c r="IP34"/>
      <c r="IQ34"/>
      <c r="IR34"/>
      <c r="IS34"/>
      <c r="IT34"/>
      <c r="IU34"/>
      <c r="IV34"/>
    </row>
    <row r="35" spans="1:256" s="117" customFormat="1" ht="13.5" customHeight="1">
      <c r="A35" s="140"/>
      <c r="C35" s="117">
        <v>761000</v>
      </c>
      <c r="D35" s="117">
        <f t="shared" si="3"/>
        <v>0</v>
      </c>
      <c r="E35" s="118">
        <f>-Comptes!E42</f>
        <v>126.32</v>
      </c>
      <c r="F35" s="118">
        <f>-Comptes!I42</f>
        <v>152.38</v>
      </c>
      <c r="G35" s="119"/>
      <c r="H35" s="118">
        <v>152.38</v>
      </c>
      <c r="I35" s="118">
        <v>208.3</v>
      </c>
      <c r="IK35"/>
      <c r="IL35"/>
      <c r="IM35"/>
      <c r="IN35"/>
      <c r="IO35"/>
      <c r="IP35"/>
      <c r="IQ35"/>
      <c r="IR35"/>
      <c r="IS35"/>
      <c r="IT35"/>
      <c r="IU35"/>
      <c r="IV35"/>
    </row>
    <row r="36" spans="1:256" s="124" customFormat="1" ht="13.5" customHeight="1">
      <c r="A36" s="141">
        <f aca="true" t="shared" si="4" ref="A36:A50">E36/H36</f>
        <v>0.5915784147361536</v>
      </c>
      <c r="B36" s="124" t="s">
        <v>363</v>
      </c>
      <c r="E36" s="125">
        <f>SUM(E25:E35)</f>
        <v>70264.46</v>
      </c>
      <c r="F36" s="125">
        <f>SUM(F25:F35)</f>
        <v>68081.39000000001</v>
      </c>
      <c r="G36" s="126"/>
      <c r="H36" s="125">
        <f>SUM(H25:H35)</f>
        <v>118774.55</v>
      </c>
      <c r="I36" s="125">
        <f>SUM(I25:I35)</f>
        <v>100047.46</v>
      </c>
      <c r="IK36" s="127"/>
      <c r="IL36" s="127"/>
      <c r="IM36" s="127"/>
      <c r="IN36" s="127"/>
      <c r="IO36" s="127"/>
      <c r="IP36" s="127"/>
      <c r="IQ36" s="127"/>
      <c r="IR36"/>
      <c r="IS36"/>
      <c r="IT36"/>
      <c r="IU36"/>
      <c r="IV36"/>
    </row>
    <row r="37" spans="1:256" s="117" customFormat="1" ht="13.5" customHeight="1">
      <c r="A37" s="140">
        <f t="shared" si="4"/>
        <v>0.5437100313849494</v>
      </c>
      <c r="C37" s="117">
        <v>606110</v>
      </c>
      <c r="D37" s="117">
        <f aca="true" t="shared" si="5" ref="D37:D56">VLOOKUP(C37,Liste_comptes,2,FALSE)</f>
        <v>0</v>
      </c>
      <c r="E37" s="118">
        <f>Comptes!E12</f>
        <v>1152.0400000000002</v>
      </c>
      <c r="F37" s="118">
        <f>Comptes!I12</f>
        <v>1311.7700000000002</v>
      </c>
      <c r="G37" s="119"/>
      <c r="H37" s="118">
        <v>2118.85</v>
      </c>
      <c r="I37" s="118">
        <v>1987.46</v>
      </c>
      <c r="IK37"/>
      <c r="IL37"/>
      <c r="IM37"/>
      <c r="IN37"/>
      <c r="IO37"/>
      <c r="IP37"/>
      <c r="IQ37"/>
      <c r="IR37"/>
      <c r="IS37"/>
      <c r="IT37"/>
      <c r="IU37"/>
      <c r="IV37"/>
    </row>
    <row r="38" spans="1:256" s="117" customFormat="1" ht="13.5" customHeight="1">
      <c r="A38" s="140">
        <f t="shared" si="4"/>
        <v>0.5335513848869506</v>
      </c>
      <c r="C38" s="117">
        <v>606120</v>
      </c>
      <c r="D38" s="117">
        <f t="shared" si="5"/>
        <v>0</v>
      </c>
      <c r="E38" s="118">
        <f>Comptes!E13</f>
        <v>411.08</v>
      </c>
      <c r="F38" s="118">
        <f>Comptes!I13</f>
        <v>420.22</v>
      </c>
      <c r="G38" s="119"/>
      <c r="H38" s="118">
        <v>770.46</v>
      </c>
      <c r="I38" s="118">
        <v>878.33</v>
      </c>
      <c r="IK38"/>
      <c r="IL38"/>
      <c r="IM38"/>
      <c r="IN38"/>
      <c r="IO38"/>
      <c r="IP38"/>
      <c r="IQ38"/>
      <c r="IR38"/>
      <c r="IS38"/>
      <c r="IT38"/>
      <c r="IU38"/>
      <c r="IV38"/>
    </row>
    <row r="39" spans="1:256" s="117" customFormat="1" ht="13.5" customHeight="1">
      <c r="A39" s="140">
        <f t="shared" si="4"/>
        <v>0.6056951046788931</v>
      </c>
      <c r="C39" s="117">
        <v>606150</v>
      </c>
      <c r="D39" s="117">
        <f t="shared" si="5"/>
        <v>0</v>
      </c>
      <c r="E39" s="118">
        <f>Comptes!E14</f>
        <v>5328.53</v>
      </c>
      <c r="F39" s="118">
        <f>Comptes!I14</f>
        <v>6222.8099999999995</v>
      </c>
      <c r="G39" s="119"/>
      <c r="H39" s="118">
        <v>8797.38</v>
      </c>
      <c r="I39" s="118">
        <v>5719.74</v>
      </c>
      <c r="IK39"/>
      <c r="IL39"/>
      <c r="IM39"/>
      <c r="IN39"/>
      <c r="IO39"/>
      <c r="IP39"/>
      <c r="IQ39"/>
      <c r="IR39"/>
      <c r="IS39"/>
      <c r="IT39"/>
      <c r="IU39"/>
      <c r="IV39"/>
    </row>
    <row r="40" spans="1:256" s="117" customFormat="1" ht="13.5" customHeight="1">
      <c r="A40" s="140">
        <f t="shared" si="4"/>
        <v>0.5009832615344142</v>
      </c>
      <c r="C40" s="117">
        <v>606300</v>
      </c>
      <c r="D40" s="117">
        <f t="shared" si="5"/>
        <v>0</v>
      </c>
      <c r="E40" s="118">
        <f>Comptes!E15</f>
        <v>761.72</v>
      </c>
      <c r="F40" s="118">
        <f>Comptes!I15</f>
        <v>993.88</v>
      </c>
      <c r="G40" s="119"/>
      <c r="H40" s="118">
        <v>1520.45</v>
      </c>
      <c r="I40" s="118">
        <v>264.89</v>
      </c>
      <c r="IK40"/>
      <c r="IL40"/>
      <c r="IM40"/>
      <c r="IN40"/>
      <c r="IO40"/>
      <c r="IP40"/>
      <c r="IQ40"/>
      <c r="IR40"/>
      <c r="IS40"/>
      <c r="IT40"/>
      <c r="IU40"/>
      <c r="IV40"/>
    </row>
    <row r="41" spans="1:256" s="117" customFormat="1" ht="13.5" customHeight="1">
      <c r="A41" s="140">
        <f t="shared" si="4"/>
        <v>0.29294226646196864</v>
      </c>
      <c r="C41" s="117">
        <v>606400</v>
      </c>
      <c r="D41" s="117">
        <f t="shared" si="5"/>
        <v>0</v>
      </c>
      <c r="E41" s="118">
        <f>Comptes!E16</f>
        <v>875.83</v>
      </c>
      <c r="F41" s="118">
        <f>Comptes!I16</f>
        <v>1301.71</v>
      </c>
      <c r="G41" s="119"/>
      <c r="H41" s="118">
        <v>2989.77</v>
      </c>
      <c r="I41" s="118">
        <v>4596.32</v>
      </c>
      <c r="IK41"/>
      <c r="IL41"/>
      <c r="IM41"/>
      <c r="IN41"/>
      <c r="IO41"/>
      <c r="IP41"/>
      <c r="IQ41"/>
      <c r="IR41"/>
      <c r="IS41"/>
      <c r="IT41"/>
      <c r="IU41"/>
      <c r="IV41"/>
    </row>
    <row r="42" spans="1:256" s="117" customFormat="1" ht="13.5" customHeight="1">
      <c r="A42" s="140">
        <f t="shared" si="4"/>
        <v>0.625226045391346</v>
      </c>
      <c r="C42" s="117">
        <v>606700</v>
      </c>
      <c r="D42" s="117">
        <f t="shared" si="5"/>
        <v>0</v>
      </c>
      <c r="E42" s="118">
        <f>Comptes!E17</f>
        <v>6551.799999999999</v>
      </c>
      <c r="F42" s="118">
        <f>Comptes!I17</f>
        <v>6720.850000000002</v>
      </c>
      <c r="G42" s="119"/>
      <c r="H42" s="118">
        <v>10479.09</v>
      </c>
      <c r="I42" s="118">
        <v>8242.8</v>
      </c>
      <c r="IK42"/>
      <c r="IL42"/>
      <c r="IM42"/>
      <c r="IN42"/>
      <c r="IO42"/>
      <c r="IP42"/>
      <c r="IQ42"/>
      <c r="IR42"/>
      <c r="IS42"/>
      <c r="IT42"/>
      <c r="IU42"/>
      <c r="IV42"/>
    </row>
    <row r="43" spans="1:256" s="117" customFormat="1" ht="13.5" customHeight="1">
      <c r="A43" s="140">
        <f t="shared" si="4"/>
        <v>0.5304393859184754</v>
      </c>
      <c r="C43" s="117">
        <v>613100</v>
      </c>
      <c r="D43" s="117">
        <f t="shared" si="5"/>
        <v>0</v>
      </c>
      <c r="E43" s="118">
        <f>Comptes!E18</f>
        <v>5010</v>
      </c>
      <c r="F43" s="118">
        <f>Comptes!I18</f>
        <v>3660</v>
      </c>
      <c r="G43" s="119"/>
      <c r="H43" s="118">
        <v>9445</v>
      </c>
      <c r="I43" s="118">
        <v>7320</v>
      </c>
      <c r="IK43"/>
      <c r="IL43"/>
      <c r="IM43"/>
      <c r="IN43"/>
      <c r="IO43"/>
      <c r="IP43"/>
      <c r="IQ43"/>
      <c r="IR43"/>
      <c r="IS43"/>
      <c r="IT43"/>
      <c r="IU43"/>
      <c r="IV43"/>
    </row>
    <row r="44" spans="1:256" s="117" customFormat="1" ht="13.5" customHeight="1">
      <c r="A44" s="140">
        <f t="shared" si="4"/>
        <v>0.596155947034152</v>
      </c>
      <c r="C44" s="117">
        <v>613200</v>
      </c>
      <c r="D44" s="117">
        <f t="shared" si="5"/>
        <v>0</v>
      </c>
      <c r="E44" s="118">
        <f>Comptes!E19</f>
        <v>6821.27</v>
      </c>
      <c r="F44" s="118">
        <f>Comptes!I19</f>
        <v>6744.5</v>
      </c>
      <c r="G44" s="119"/>
      <c r="H44" s="118">
        <v>11442.09</v>
      </c>
      <c r="I44" s="118">
        <v>11361.38</v>
      </c>
      <c r="IK44"/>
      <c r="IL44"/>
      <c r="IM44"/>
      <c r="IN44"/>
      <c r="IO44"/>
      <c r="IP44"/>
      <c r="IQ44"/>
      <c r="IR44"/>
      <c r="IS44"/>
      <c r="IT44"/>
      <c r="IU44"/>
      <c r="IV44"/>
    </row>
    <row r="45" spans="1:256" s="117" customFormat="1" ht="13.5" customHeight="1">
      <c r="A45" s="140">
        <f t="shared" si="4"/>
        <v>0.6501106918238994</v>
      </c>
      <c r="C45" s="117">
        <v>615000</v>
      </c>
      <c r="D45" s="117">
        <f t="shared" si="5"/>
        <v>0</v>
      </c>
      <c r="E45" s="118">
        <f>Comptes!E20</f>
        <v>2584.19</v>
      </c>
      <c r="F45" s="118">
        <f>Comptes!I20</f>
        <v>2461.16</v>
      </c>
      <c r="G45" s="119"/>
      <c r="H45" s="118">
        <v>3975</v>
      </c>
      <c r="I45" s="118">
        <v>5718.75</v>
      </c>
      <c r="IK45"/>
      <c r="IL45"/>
      <c r="IM45"/>
      <c r="IN45"/>
      <c r="IO45"/>
      <c r="IP45"/>
      <c r="IQ45"/>
      <c r="IR45"/>
      <c r="IS45"/>
      <c r="IT45"/>
      <c r="IU45"/>
      <c r="IV45"/>
    </row>
    <row r="46" spans="1:256" s="117" customFormat="1" ht="13.5" customHeight="1">
      <c r="A46" s="140">
        <f t="shared" si="4"/>
        <v>0</v>
      </c>
      <c r="C46" s="117">
        <v>616000</v>
      </c>
      <c r="D46" s="117">
        <f t="shared" si="5"/>
        <v>0</v>
      </c>
      <c r="E46" s="118">
        <f>Comptes!E21</f>
        <v>0</v>
      </c>
      <c r="F46" s="118">
        <f>Comptes!I21</f>
        <v>0</v>
      </c>
      <c r="G46" s="119"/>
      <c r="H46" s="118">
        <v>3070.91</v>
      </c>
      <c r="I46" s="118">
        <v>2883.1</v>
      </c>
      <c r="IK46"/>
      <c r="IL46"/>
      <c r="IM46"/>
      <c r="IN46"/>
      <c r="IO46"/>
      <c r="IP46"/>
      <c r="IQ46"/>
      <c r="IR46"/>
      <c r="IS46"/>
      <c r="IT46"/>
      <c r="IU46"/>
      <c r="IV46"/>
    </row>
    <row r="47" spans="1:256" s="117" customFormat="1" ht="13.5" customHeight="1">
      <c r="A47" s="140">
        <f t="shared" si="4"/>
        <v>0.5145273620499026</v>
      </c>
      <c r="C47" s="117">
        <v>622600</v>
      </c>
      <c r="D47" s="117">
        <f t="shared" si="5"/>
        <v>0</v>
      </c>
      <c r="E47" s="118">
        <f>Comptes!E22</f>
        <v>4514</v>
      </c>
      <c r="F47" s="118">
        <f>Comptes!I22</f>
        <v>4252</v>
      </c>
      <c r="G47" s="119"/>
      <c r="H47" s="118">
        <v>8773.1</v>
      </c>
      <c r="I47" s="118">
        <v>8125.1</v>
      </c>
      <c r="IK47"/>
      <c r="IL47"/>
      <c r="IM47"/>
      <c r="IN47"/>
      <c r="IO47"/>
      <c r="IP47"/>
      <c r="IQ47"/>
      <c r="IR47"/>
      <c r="IS47"/>
      <c r="IT47"/>
      <c r="IU47"/>
      <c r="IV47"/>
    </row>
    <row r="48" spans="1:256" s="117" customFormat="1" ht="13.5" customHeight="1">
      <c r="A48" s="140">
        <f t="shared" si="4"/>
        <v>0.491356826394669</v>
      </c>
      <c r="C48" s="117">
        <v>625000</v>
      </c>
      <c r="D48" s="117">
        <f t="shared" si="5"/>
        <v>0</v>
      </c>
      <c r="E48" s="118">
        <f>Comptes!E23</f>
        <v>7603.570000000001</v>
      </c>
      <c r="F48" s="118">
        <f>Comptes!I23</f>
        <v>3122.3500000000004</v>
      </c>
      <c r="G48" s="119"/>
      <c r="H48" s="118">
        <v>15474.64</v>
      </c>
      <c r="I48" s="118">
        <v>14389.82</v>
      </c>
      <c r="IK48"/>
      <c r="IL48"/>
      <c r="IM48"/>
      <c r="IN48"/>
      <c r="IO48"/>
      <c r="IP48"/>
      <c r="IQ48"/>
      <c r="IR48"/>
      <c r="IS48"/>
      <c r="IT48"/>
      <c r="IU48"/>
      <c r="IV48"/>
    </row>
    <row r="49" spans="1:256" s="117" customFormat="1" ht="13.5" customHeight="1">
      <c r="A49" s="140">
        <f t="shared" si="4"/>
        <v>0.5779495244164089</v>
      </c>
      <c r="C49" s="117">
        <v>626000</v>
      </c>
      <c r="D49" s="117">
        <f t="shared" si="5"/>
        <v>0</v>
      </c>
      <c r="E49" s="118">
        <f>Comptes!E24</f>
        <v>988.5999999999999</v>
      </c>
      <c r="F49" s="118">
        <f>Comptes!I24</f>
        <v>1056.33</v>
      </c>
      <c r="G49" s="119"/>
      <c r="H49" s="118">
        <v>1710.53</v>
      </c>
      <c r="I49" s="118">
        <v>2204.25</v>
      </c>
      <c r="IK49"/>
      <c r="IL49"/>
      <c r="IM49"/>
      <c r="IN49"/>
      <c r="IO49"/>
      <c r="IP49"/>
      <c r="IQ49"/>
      <c r="IR49"/>
      <c r="IS49"/>
      <c r="IT49"/>
      <c r="IU49"/>
      <c r="IV49"/>
    </row>
    <row r="50" spans="1:256" s="117" customFormat="1" ht="13.5" customHeight="1">
      <c r="A50" s="140">
        <f t="shared" si="4"/>
        <v>0.38533411945757423</v>
      </c>
      <c r="C50" s="117">
        <v>626500</v>
      </c>
      <c r="D50" s="117">
        <f t="shared" si="5"/>
        <v>0</v>
      </c>
      <c r="E50" s="118">
        <f>Comptes!E25</f>
        <v>771.1999999999999</v>
      </c>
      <c r="F50" s="118">
        <f>Comptes!I25</f>
        <v>1241.1200000000001</v>
      </c>
      <c r="G50" s="119"/>
      <c r="H50" s="118">
        <v>2001.38</v>
      </c>
      <c r="I50" s="118">
        <v>1449</v>
      </c>
      <c r="IK50"/>
      <c r="IL50"/>
      <c r="IM50"/>
      <c r="IN50"/>
      <c r="IO50"/>
      <c r="IP50"/>
      <c r="IQ50"/>
      <c r="IR50"/>
      <c r="IS50"/>
      <c r="IT50"/>
      <c r="IU50"/>
      <c r="IV50"/>
    </row>
    <row r="51" spans="1:256" s="117" customFormat="1" ht="13.5" customHeight="1">
      <c r="A51" s="140"/>
      <c r="C51" s="117">
        <v>627000</v>
      </c>
      <c r="D51" s="117">
        <f t="shared" si="5"/>
        <v>0</v>
      </c>
      <c r="E51" s="118">
        <f>Comptes!E26</f>
        <v>0</v>
      </c>
      <c r="F51" s="118">
        <f>Comptes!I26</f>
        <v>0</v>
      </c>
      <c r="G51" s="119"/>
      <c r="H51" s="118">
        <v>23</v>
      </c>
      <c r="I51" s="118">
        <v>21</v>
      </c>
      <c r="IK51"/>
      <c r="IL51"/>
      <c r="IM51"/>
      <c r="IN51"/>
      <c r="IO51"/>
      <c r="IP51"/>
      <c r="IQ51"/>
      <c r="IR51"/>
      <c r="IS51"/>
      <c r="IT51"/>
      <c r="IU51"/>
      <c r="IV51"/>
    </row>
    <row r="52" spans="1:256" s="117" customFormat="1" ht="13.5" customHeight="1">
      <c r="A52" s="140">
        <f aca="true" t="shared" si="6" ref="A52:A54">E52/H52</f>
        <v>0.26975476839237056</v>
      </c>
      <c r="C52" s="117">
        <v>630000</v>
      </c>
      <c r="D52" s="117">
        <f t="shared" si="5"/>
        <v>0</v>
      </c>
      <c r="E52" s="118">
        <f>Comptes!E27</f>
        <v>940.5</v>
      </c>
      <c r="F52" s="118">
        <f>Comptes!I27</f>
        <v>851</v>
      </c>
      <c r="G52" s="119"/>
      <c r="H52" s="118">
        <v>3486.5</v>
      </c>
      <c r="I52" s="118">
        <v>2867</v>
      </c>
      <c r="IK52"/>
      <c r="IL52"/>
      <c r="IM52"/>
      <c r="IN52"/>
      <c r="IO52"/>
      <c r="IP52"/>
      <c r="IQ52"/>
      <c r="IR52"/>
      <c r="IS52"/>
      <c r="IT52"/>
      <c r="IU52"/>
      <c r="IV52"/>
    </row>
    <row r="53" spans="1:256" s="117" customFormat="1" ht="13.5" customHeight="1">
      <c r="A53" s="140">
        <f t="shared" si="6"/>
        <v>0.12659772625088317</v>
      </c>
      <c r="C53" s="117">
        <v>641000</v>
      </c>
      <c r="D53" s="117">
        <f t="shared" si="5"/>
        <v>0</v>
      </c>
      <c r="E53" s="118">
        <f>Comptes!E28</f>
        <v>2049.84</v>
      </c>
      <c r="F53" s="118">
        <f>Comptes!I28</f>
        <v>8014.079999999999</v>
      </c>
      <c r="G53" s="119"/>
      <c r="H53" s="118">
        <v>16191.76</v>
      </c>
      <c r="I53" s="118">
        <v>15861.43</v>
      </c>
      <c r="IK53"/>
      <c r="IL53"/>
      <c r="IM53"/>
      <c r="IN53"/>
      <c r="IO53"/>
      <c r="IP53"/>
      <c r="IQ53"/>
      <c r="IR53"/>
      <c r="IS53"/>
      <c r="IT53"/>
      <c r="IU53"/>
      <c r="IV53"/>
    </row>
    <row r="54" spans="1:256" s="117" customFormat="1" ht="13.5" customHeight="1">
      <c r="A54" s="140">
        <f t="shared" si="6"/>
        <v>0.11080246913580247</v>
      </c>
      <c r="C54" s="117">
        <v>645000</v>
      </c>
      <c r="D54" s="117">
        <f t="shared" si="5"/>
        <v>0</v>
      </c>
      <c r="E54" s="118">
        <f>Comptes!E29</f>
        <v>1077</v>
      </c>
      <c r="F54" s="118">
        <f>Comptes!I29</f>
        <v>5812</v>
      </c>
      <c r="G54" s="119"/>
      <c r="H54" s="118">
        <v>9720</v>
      </c>
      <c r="I54" s="118">
        <v>10529</v>
      </c>
      <c r="IK54"/>
      <c r="IL54"/>
      <c r="IM54"/>
      <c r="IN54"/>
      <c r="IO54"/>
      <c r="IP54"/>
      <c r="IQ54"/>
      <c r="IR54"/>
      <c r="IS54"/>
      <c r="IT54"/>
      <c r="IU54"/>
      <c r="IV54"/>
    </row>
    <row r="55" spans="1:256" s="117" customFormat="1" ht="13.5" customHeight="1">
      <c r="A55" s="140"/>
      <c r="C55" s="117">
        <v>670000</v>
      </c>
      <c r="D55" s="117">
        <f t="shared" si="5"/>
        <v>0</v>
      </c>
      <c r="E55" s="118">
        <f>Comptes!E30</f>
        <v>0</v>
      </c>
      <c r="F55" s="118">
        <f>Comptes!I30</f>
        <v>0</v>
      </c>
      <c r="G55" s="119"/>
      <c r="H55" s="118">
        <v>0</v>
      </c>
      <c r="I55" s="118">
        <v>0</v>
      </c>
      <c r="IK55"/>
      <c r="IL55"/>
      <c r="IM55"/>
      <c r="IN55"/>
      <c r="IO55"/>
      <c r="IP55"/>
      <c r="IQ55"/>
      <c r="IR55"/>
      <c r="IS55"/>
      <c r="IT55"/>
      <c r="IU55"/>
      <c r="IV55"/>
    </row>
    <row r="56" spans="1:256" s="117" customFormat="1" ht="13.5" customHeight="1">
      <c r="A56" s="140">
        <f aca="true" t="shared" si="7" ref="A56:A57">E56/H56</f>
        <v>0</v>
      </c>
      <c r="C56" s="117">
        <v>680000</v>
      </c>
      <c r="D56" s="117">
        <f t="shared" si="5"/>
        <v>0</v>
      </c>
      <c r="E56" s="118">
        <f>Comptes!E31</f>
        <v>0</v>
      </c>
      <c r="F56" s="118">
        <f>Comptes!I31</f>
        <v>0</v>
      </c>
      <c r="G56" s="119"/>
      <c r="H56" s="118">
        <v>3132.45</v>
      </c>
      <c r="I56" s="118">
        <v>3333.76</v>
      </c>
      <c r="IK56"/>
      <c r="IL56"/>
      <c r="IM56"/>
      <c r="IN56"/>
      <c r="IO56"/>
      <c r="IP56"/>
      <c r="IQ56"/>
      <c r="IR56"/>
      <c r="IS56"/>
      <c r="IT56"/>
      <c r="IU56"/>
      <c r="IV56"/>
    </row>
    <row r="57" spans="1:256" s="124" customFormat="1" ht="13.5" customHeight="1">
      <c r="A57" s="141">
        <f t="shared" si="7"/>
        <v>0.41209344561734146</v>
      </c>
      <c r="B57" s="124" t="s">
        <v>364</v>
      </c>
      <c r="E57" s="125">
        <f>SUM(E37:E56)</f>
        <v>47441.17</v>
      </c>
      <c r="F57" s="125">
        <f>SUM(F37:F56)</f>
        <v>54185.780000000006</v>
      </c>
      <c r="G57" s="126"/>
      <c r="H57" s="125">
        <f>SUM(H37:H56)</f>
        <v>115122.35999999999</v>
      </c>
      <c r="I57" s="125">
        <f>SUM(I37:I56)</f>
        <v>107753.12999999999</v>
      </c>
      <c r="IK57" s="127"/>
      <c r="IL57" s="127"/>
      <c r="IM57" s="127"/>
      <c r="IN57" s="127"/>
      <c r="IO57" s="127"/>
      <c r="IP57" s="127"/>
      <c r="IQ57" s="127"/>
      <c r="IR57"/>
      <c r="IS57"/>
      <c r="IT57"/>
      <c r="IU57"/>
      <c r="IV57"/>
    </row>
    <row r="58" spans="1:256" s="112" customFormat="1" ht="13.5" customHeight="1">
      <c r="A58" s="112" t="s">
        <v>365</v>
      </c>
      <c r="E58" s="142">
        <f>E36-E57</f>
        <v>22823.290000000008</v>
      </c>
      <c r="F58" s="142">
        <f>F36-F57</f>
        <v>13895.610000000008</v>
      </c>
      <c r="G58" s="143"/>
      <c r="H58" s="142">
        <f>H36-H57</f>
        <v>3652.190000000017</v>
      </c>
      <c r="I58" s="142">
        <f>I36-I57</f>
        <v>-7705.669999999984</v>
      </c>
      <c r="IK58" s="116"/>
      <c r="IL58" s="116"/>
      <c r="IM58" s="116"/>
      <c r="IN58" s="116"/>
      <c r="IO58" s="116"/>
      <c r="IP58" s="116"/>
      <c r="IQ58" s="116"/>
      <c r="IR58"/>
      <c r="IS58"/>
      <c r="IT58"/>
      <c r="IU58"/>
      <c r="IV58"/>
    </row>
    <row r="59" spans="5:256" s="144" customFormat="1" ht="13.5" customHeight="1">
      <c r="E59" s="145"/>
      <c r="F59" s="145"/>
      <c r="G59" s="146"/>
      <c r="H59" s="145"/>
      <c r="I59" s="145"/>
      <c r="IK59"/>
      <c r="IL59"/>
      <c r="IM59"/>
      <c r="IN59"/>
      <c r="IO59"/>
      <c r="IP59"/>
      <c r="IQ59"/>
      <c r="IR59"/>
      <c r="IS59"/>
      <c r="IT59"/>
      <c r="IU59"/>
      <c r="IV59"/>
    </row>
    <row r="60" spans="3:256" s="27" customFormat="1" ht="13.5" customHeight="1">
      <c r="C60" s="147">
        <f>Comptes!E46</f>
        <v>39187</v>
      </c>
      <c r="D60" s="148" t="s">
        <v>366</v>
      </c>
      <c r="E60" s="149" t="s">
        <v>349</v>
      </c>
      <c r="F60" s="149" t="s">
        <v>350</v>
      </c>
      <c r="G60" s="150"/>
      <c r="H60" s="151"/>
      <c r="I60" s="151"/>
      <c r="IJ60" s="152"/>
      <c r="IK60" s="152"/>
      <c r="IL60" s="152"/>
      <c r="IM60" s="152"/>
      <c r="IN60" s="152"/>
      <c r="IO60" s="152"/>
      <c r="IP60" s="152"/>
      <c r="IQ60"/>
      <c r="IR60"/>
      <c r="IS60"/>
      <c r="IT60"/>
      <c r="IU60"/>
      <c r="IV60"/>
    </row>
    <row r="61" spans="3:256" s="23" customFormat="1" ht="13.5" customHeight="1">
      <c r="C61" s="153"/>
      <c r="D61" s="23" t="s">
        <v>367</v>
      </c>
      <c r="E61" s="154">
        <f>ROUND(E25+E30,-2)</f>
        <v>9900</v>
      </c>
      <c r="F61" s="154">
        <f>ROUND(F25+F30,-2)</f>
        <v>7800</v>
      </c>
      <c r="G61" s="155"/>
      <c r="H61" s="156"/>
      <c r="I61" s="156"/>
      <c r="IJ61" s="17"/>
      <c r="IK61" s="17"/>
      <c r="IL61" s="17"/>
      <c r="IM61" s="17"/>
      <c r="IN61" s="17"/>
      <c r="IO61" s="17"/>
      <c r="IP61" s="17"/>
      <c r="IQ61"/>
      <c r="IR61"/>
      <c r="IS61"/>
      <c r="IT61"/>
      <c r="IU61"/>
      <c r="IV61"/>
    </row>
    <row r="62" spans="3:256" s="23" customFormat="1" ht="13.5" customHeight="1">
      <c r="C62" s="153"/>
      <c r="D62" s="23" t="s">
        <v>368</v>
      </c>
      <c r="E62" s="154">
        <f>ROUND(E26+E27+E28,-2)</f>
        <v>41300</v>
      </c>
      <c r="F62" s="154">
        <f>ROUND(F26+F27+F28,-2)</f>
        <v>39500</v>
      </c>
      <c r="G62" s="155"/>
      <c r="H62" s="156"/>
      <c r="I62" s="156"/>
      <c r="IJ62" s="17"/>
      <c r="IK62" s="17"/>
      <c r="IL62" s="17"/>
      <c r="IM62" s="17"/>
      <c r="IN62" s="17"/>
      <c r="IO62" s="17"/>
      <c r="IP62" s="17"/>
      <c r="IQ62"/>
      <c r="IR62"/>
      <c r="IS62"/>
      <c r="IT62"/>
      <c r="IU62"/>
      <c r="IV62"/>
    </row>
    <row r="63" spans="3:256" s="23" customFormat="1" ht="13.5" customHeight="1">
      <c r="C63" s="153"/>
      <c r="D63" s="23" t="s">
        <v>369</v>
      </c>
      <c r="E63" s="154">
        <f>ROUND(E29,-2)</f>
        <v>1500</v>
      </c>
      <c r="F63" s="154">
        <f>ROUND(F29,-2)</f>
        <v>3400</v>
      </c>
      <c r="G63" s="155"/>
      <c r="H63" s="156"/>
      <c r="I63" s="156"/>
      <c r="IJ63" s="17"/>
      <c r="IK63" s="17"/>
      <c r="IL63" s="17"/>
      <c r="IM63" s="17"/>
      <c r="IN63" s="17"/>
      <c r="IO63" s="17"/>
      <c r="IP63" s="17"/>
      <c r="IQ63"/>
      <c r="IR63"/>
      <c r="IS63"/>
      <c r="IT63"/>
      <c r="IU63"/>
      <c r="IV63"/>
    </row>
    <row r="64" spans="3:256" s="23" customFormat="1" ht="13.5" customHeight="1">
      <c r="C64" s="153"/>
      <c r="D64" s="23" t="s">
        <v>138</v>
      </c>
      <c r="E64" s="154">
        <f aca="true" t="shared" si="8" ref="E64:E65">ROUND(E32,-2)</f>
        <v>8700</v>
      </c>
      <c r="F64" s="154">
        <f aca="true" t="shared" si="9" ref="F64:F65">ROUND(F32,-2)</f>
        <v>10500</v>
      </c>
      <c r="G64" s="155"/>
      <c r="H64" s="156"/>
      <c r="I64" s="156"/>
      <c r="IJ64" s="17"/>
      <c r="IK64" s="17"/>
      <c r="IL64" s="17"/>
      <c r="IM64" s="17"/>
      <c r="IN64" s="17"/>
      <c r="IO64" s="17"/>
      <c r="IP64" s="17"/>
      <c r="IQ64"/>
      <c r="IR64"/>
      <c r="IS64"/>
      <c r="IT64"/>
      <c r="IU64"/>
      <c r="IV64"/>
    </row>
    <row r="65" spans="3:256" s="23" customFormat="1" ht="13.5" customHeight="1">
      <c r="C65" s="153"/>
      <c r="D65" s="23" t="s">
        <v>370</v>
      </c>
      <c r="E65" s="154">
        <f t="shared" si="8"/>
        <v>5100</v>
      </c>
      <c r="F65" s="154">
        <f t="shared" si="9"/>
        <v>5600</v>
      </c>
      <c r="G65" s="155"/>
      <c r="H65" s="156"/>
      <c r="I65" s="156"/>
      <c r="IJ65" s="17"/>
      <c r="IK65" s="17"/>
      <c r="IL65" s="17"/>
      <c r="IM65" s="17"/>
      <c r="IN65" s="17"/>
      <c r="IO65" s="17"/>
      <c r="IP65" s="17"/>
      <c r="IQ65"/>
      <c r="IR65"/>
      <c r="IS65"/>
      <c r="IT65"/>
      <c r="IU65"/>
      <c r="IV65"/>
    </row>
    <row r="66" spans="3:256" s="23" customFormat="1" ht="13.5" customHeight="1">
      <c r="C66" s="153"/>
      <c r="D66" s="23" t="s">
        <v>371</v>
      </c>
      <c r="E66" s="154">
        <f>E67-SUM(E61:E65)</f>
        <v>3800</v>
      </c>
      <c r="F66" s="154">
        <f>F67-SUM(F61:F65)</f>
        <v>1300</v>
      </c>
      <c r="G66" s="155"/>
      <c r="H66" s="156"/>
      <c r="I66" s="156"/>
      <c r="IJ66" s="17"/>
      <c r="IK66" s="17"/>
      <c r="IL66" s="17"/>
      <c r="IM66" s="17"/>
      <c r="IN66" s="17"/>
      <c r="IO66" s="17"/>
      <c r="IP66" s="17"/>
      <c r="IQ66"/>
      <c r="IR66"/>
      <c r="IS66"/>
      <c r="IT66"/>
      <c r="IU66"/>
      <c r="IV66"/>
    </row>
    <row r="67" spans="3:256" s="27" customFormat="1" ht="13.5" customHeight="1">
      <c r="C67" s="157"/>
      <c r="D67" s="20" t="s">
        <v>372</v>
      </c>
      <c r="E67" s="158">
        <f>ROUND(E36,-2)</f>
        <v>70300</v>
      </c>
      <c r="F67" s="158">
        <f>ROUND(F36,-2)</f>
        <v>68100</v>
      </c>
      <c r="G67" s="150"/>
      <c r="H67" s="151"/>
      <c r="I67" s="151"/>
      <c r="IJ67" s="152"/>
      <c r="IK67" s="152"/>
      <c r="IL67" s="152"/>
      <c r="IM67" s="152"/>
      <c r="IN67" s="152"/>
      <c r="IO67" s="152"/>
      <c r="IP67" s="152"/>
      <c r="IQ67"/>
      <c r="IR67"/>
      <c r="IS67"/>
      <c r="IT67"/>
      <c r="IU67"/>
      <c r="IV67"/>
    </row>
    <row r="68" spans="3:256" s="23" customFormat="1" ht="13.5" customHeight="1">
      <c r="C68" s="153"/>
      <c r="D68" s="23" t="s">
        <v>373</v>
      </c>
      <c r="E68" s="154">
        <f>ROUND(E39,-2)</f>
        <v>5300</v>
      </c>
      <c r="F68" s="154">
        <f>ROUND(F39,-2)</f>
        <v>6200</v>
      </c>
      <c r="G68" s="155"/>
      <c r="H68" s="156"/>
      <c r="I68" s="156"/>
      <c r="IJ68" s="17"/>
      <c r="IK68" s="17"/>
      <c r="IL68" s="17"/>
      <c r="IM68" s="17"/>
      <c r="IN68" s="17"/>
      <c r="IO68" s="17"/>
      <c r="IP68" s="17"/>
      <c r="IQ68"/>
      <c r="IR68"/>
      <c r="IS68"/>
      <c r="IT68"/>
      <c r="IU68"/>
      <c r="IV68"/>
    </row>
    <row r="69" spans="3:256" s="23" customFormat="1" ht="13.5" customHeight="1">
      <c r="C69" s="153"/>
      <c r="D69" s="23" t="s">
        <v>116</v>
      </c>
      <c r="E69" s="154">
        <f>ROUND(E42,-2)</f>
        <v>6600</v>
      </c>
      <c r="F69" s="154">
        <f>ROUND(F42,-2)</f>
        <v>6700</v>
      </c>
      <c r="G69" s="155"/>
      <c r="H69" s="156"/>
      <c r="I69" s="156"/>
      <c r="IJ69" s="17"/>
      <c r="IK69" s="17"/>
      <c r="IL69" s="17"/>
      <c r="IM69" s="17"/>
      <c r="IN69" s="17"/>
      <c r="IO69" s="17"/>
      <c r="IP69" s="17"/>
      <c r="IQ69"/>
      <c r="IR69"/>
      <c r="IS69"/>
      <c r="IT69"/>
      <c r="IU69"/>
      <c r="IV69"/>
    </row>
    <row r="70" spans="3:256" s="23" customFormat="1" ht="13.5" customHeight="1">
      <c r="C70" s="153"/>
      <c r="D70" s="23" t="s">
        <v>374</v>
      </c>
      <c r="E70" s="154">
        <f>ROUND(E43+E44,-2)</f>
        <v>11800</v>
      </c>
      <c r="F70" s="154">
        <f>ROUND(F43+F44,-2)</f>
        <v>10400</v>
      </c>
      <c r="G70" s="155"/>
      <c r="H70" s="156"/>
      <c r="I70" s="156"/>
      <c r="IJ70" s="17"/>
      <c r="IK70" s="17"/>
      <c r="IL70" s="17"/>
      <c r="IM70" s="17"/>
      <c r="IN70" s="17"/>
      <c r="IO70" s="17"/>
      <c r="IP70" s="17"/>
      <c r="IQ70"/>
      <c r="IR70"/>
      <c r="IS70"/>
      <c r="IT70"/>
      <c r="IU70"/>
      <c r="IV70"/>
    </row>
    <row r="71" spans="3:256" s="23" customFormat="1" ht="13.5" customHeight="1">
      <c r="C71" s="153"/>
      <c r="D71" s="23" t="s">
        <v>375</v>
      </c>
      <c r="E71" s="154">
        <f>ROUND(E47+E48,-2)</f>
        <v>12100</v>
      </c>
      <c r="F71" s="154">
        <f>ROUND(F47+F48,-2)</f>
        <v>7400</v>
      </c>
      <c r="G71" s="155"/>
      <c r="H71" s="156"/>
      <c r="I71" s="156"/>
      <c r="IJ71" s="17"/>
      <c r="IK71" s="17"/>
      <c r="IL71" s="17"/>
      <c r="IM71" s="17"/>
      <c r="IN71" s="17"/>
      <c r="IO71" s="17"/>
      <c r="IP71" s="17"/>
      <c r="IQ71"/>
      <c r="IR71"/>
      <c r="IS71"/>
      <c r="IT71"/>
      <c r="IU71"/>
      <c r="IV71"/>
    </row>
    <row r="72" spans="3:256" s="23" customFormat="1" ht="13.5" customHeight="1">
      <c r="C72" s="153"/>
      <c r="D72" s="23" t="s">
        <v>376</v>
      </c>
      <c r="E72" s="154">
        <f>ROUND(E53+E54,-2)</f>
        <v>3100</v>
      </c>
      <c r="F72" s="154">
        <f>ROUND(F53+F54,-2)</f>
        <v>13800</v>
      </c>
      <c r="G72" s="155"/>
      <c r="H72" s="156"/>
      <c r="I72" s="156"/>
      <c r="IJ72" s="17"/>
      <c r="IK72" s="17"/>
      <c r="IL72" s="17"/>
      <c r="IM72" s="17"/>
      <c r="IN72" s="17"/>
      <c r="IO72" s="17"/>
      <c r="IP72" s="17"/>
      <c r="IQ72"/>
      <c r="IR72"/>
      <c r="IS72"/>
      <c r="IT72"/>
      <c r="IU72"/>
      <c r="IV72"/>
    </row>
    <row r="73" spans="3:256" s="23" customFormat="1" ht="13.5" customHeight="1">
      <c r="C73" s="153"/>
      <c r="D73" s="23" t="s">
        <v>371</v>
      </c>
      <c r="E73" s="154">
        <f>E74-SUM(E68:E72)</f>
        <v>8500</v>
      </c>
      <c r="F73" s="154">
        <f>F74-SUM(F68:F72)</f>
        <v>9700</v>
      </c>
      <c r="G73" s="155"/>
      <c r="H73" s="156"/>
      <c r="I73" s="156"/>
      <c r="IJ73" s="17"/>
      <c r="IK73" s="17"/>
      <c r="IL73" s="17"/>
      <c r="IM73" s="17"/>
      <c r="IN73" s="17"/>
      <c r="IO73" s="17"/>
      <c r="IP73" s="17"/>
      <c r="IQ73"/>
      <c r="IR73"/>
      <c r="IS73"/>
      <c r="IT73"/>
      <c r="IU73"/>
      <c r="IV73"/>
    </row>
    <row r="74" spans="3:256" s="27" customFormat="1" ht="13.5" customHeight="1">
      <c r="C74" s="159"/>
      <c r="D74" s="27" t="s">
        <v>377</v>
      </c>
      <c r="E74" s="160">
        <f>ROUND(E57,-2)</f>
        <v>47400</v>
      </c>
      <c r="F74" s="160">
        <f>ROUND(F57,-2)</f>
        <v>54200</v>
      </c>
      <c r="G74" s="150"/>
      <c r="H74" s="151"/>
      <c r="I74" s="151"/>
      <c r="IJ74" s="152"/>
      <c r="IK74" s="152"/>
      <c r="IL74" s="152"/>
      <c r="IM74" s="152"/>
      <c r="IN74" s="152"/>
      <c r="IO74" s="152"/>
      <c r="IP74" s="152"/>
      <c r="IQ74"/>
      <c r="IR74"/>
      <c r="IS74"/>
      <c r="IT74"/>
      <c r="IU74"/>
      <c r="IV74"/>
    </row>
    <row r="75" spans="3:256" s="27" customFormat="1" ht="13.5" customHeight="1">
      <c r="C75" s="161"/>
      <c r="D75" s="162" t="s">
        <v>378</v>
      </c>
      <c r="E75" s="163">
        <f>E67-E74</f>
        <v>22900</v>
      </c>
      <c r="F75" s="163">
        <f>F67-F74</f>
        <v>13900</v>
      </c>
      <c r="G75" s="150"/>
      <c r="H75" s="151"/>
      <c r="I75" s="151"/>
      <c r="IJ75" s="152"/>
      <c r="IK75" s="152"/>
      <c r="IL75" s="152"/>
      <c r="IM75" s="152"/>
      <c r="IN75" s="152"/>
      <c r="IO75" s="152"/>
      <c r="IP75" s="152"/>
      <c r="IQ75"/>
      <c r="IR75"/>
      <c r="IS75"/>
      <c r="IT75"/>
      <c r="IU75"/>
      <c r="IV75"/>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sheetData>
  <sheetProtection selectLockedCells="1" selectUnlockedCells="1"/>
  <printOptions horizontalCentered="1"/>
  <pageMargins left="0.2361111111111111" right="0.2361111111111111" top="0.7618055555555556" bottom="0.31527777777777777" header="0.39375" footer="0.5118055555555555"/>
  <pageSetup horizontalDpi="300" verticalDpi="300" orientation="portrait" paperSize="9"/>
  <headerFooter alignWithMargins="0">
    <oddHeader>&amp;LEdition du &amp;D&amp;C&amp;11Bilan et compte d'exploitation&amp;R&amp;9&amp;F
Page &amp;P/&amp;N</oddHeader>
  </headerFooter>
  <rowBreaks count="1" manualBreakCount="1">
    <brk id="23" max="255" man="1"/>
  </rowBreaks>
</worksheet>
</file>

<file path=xl/worksheets/sheet7.xml><?xml version="1.0" encoding="utf-8"?>
<worksheet xmlns="http://schemas.openxmlformats.org/spreadsheetml/2006/main" xmlns:r="http://schemas.openxmlformats.org/officeDocument/2006/relationships">
  <dimension ref="A1:J6"/>
  <sheetViews>
    <sheetView workbookViewId="0" topLeftCell="A1">
      <selection activeCell="F16" sqref="F16"/>
    </sheetView>
  </sheetViews>
  <sheetFormatPr defaultColWidth="12" defaultRowHeight="13.5" customHeight="1"/>
  <cols>
    <col min="1" max="1" width="27.16015625" style="164" customWidth="1"/>
    <col min="2" max="10" width="11" style="164" customWidth="1"/>
    <col min="11" max="16384" width="11.33203125" style="164" customWidth="1"/>
  </cols>
  <sheetData>
    <row r="1" spans="1:10" s="166" customFormat="1" ht="13.5" customHeight="1">
      <c r="A1" s="165"/>
      <c r="B1" s="165" t="s">
        <v>379</v>
      </c>
      <c r="C1" s="165" t="s">
        <v>380</v>
      </c>
      <c r="D1" s="165" t="s">
        <v>381</v>
      </c>
      <c r="E1" s="165" t="s">
        <v>382</v>
      </c>
      <c r="F1" s="165" t="s">
        <v>351</v>
      </c>
      <c r="G1" s="165" t="s">
        <v>350</v>
      </c>
      <c r="H1" s="165" t="s">
        <v>349</v>
      </c>
      <c r="I1" s="165" t="s">
        <v>383</v>
      </c>
      <c r="J1" s="165" t="s">
        <v>384</v>
      </c>
    </row>
    <row r="2" spans="1:10" ht="13.5" customHeight="1">
      <c r="A2" s="167" t="s">
        <v>385</v>
      </c>
      <c r="B2" s="168">
        <v>1145.16</v>
      </c>
      <c r="C2" s="168">
        <v>1145.16</v>
      </c>
      <c r="D2" s="168">
        <v>1145.16</v>
      </c>
      <c r="E2" s="168">
        <v>1145.16</v>
      </c>
      <c r="F2" s="168">
        <v>1145.16</v>
      </c>
      <c r="G2" s="168">
        <v>943.85</v>
      </c>
      <c r="H2" s="168"/>
      <c r="I2" s="168"/>
      <c r="J2" s="168"/>
    </row>
    <row r="3" spans="1:10" ht="13.5" customHeight="1">
      <c r="A3" s="167" t="s">
        <v>386</v>
      </c>
      <c r="B3" s="168">
        <v>499.58</v>
      </c>
      <c r="C3" s="168">
        <v>499.58</v>
      </c>
      <c r="D3" s="168">
        <v>499.58</v>
      </c>
      <c r="E3" s="168">
        <v>999.16</v>
      </c>
      <c r="F3" s="168"/>
      <c r="G3" s="168"/>
      <c r="H3" s="168"/>
      <c r="I3" s="168"/>
      <c r="J3" s="168"/>
    </row>
    <row r="4" spans="1:10" ht="13.5" customHeight="1">
      <c r="A4" s="167" t="s">
        <v>387</v>
      </c>
      <c r="B4" s="168"/>
      <c r="C4" s="168"/>
      <c r="D4" s="168"/>
      <c r="E4" s="168">
        <v>2188.6</v>
      </c>
      <c r="F4" s="168">
        <v>2188.6</v>
      </c>
      <c r="G4" s="168">
        <v>2188.6</v>
      </c>
      <c r="H4" s="168">
        <v>2188.59</v>
      </c>
      <c r="I4" s="168">
        <v>2188.59</v>
      </c>
      <c r="J4" s="168"/>
    </row>
    <row r="5" spans="1:10" ht="13.5" customHeight="1">
      <c r="A5" s="167" t="s">
        <v>162</v>
      </c>
      <c r="B5" s="168"/>
      <c r="C5" s="168"/>
      <c r="D5" s="168"/>
      <c r="E5" s="168"/>
      <c r="F5" s="168"/>
      <c r="G5" s="168"/>
      <c r="H5" s="168">
        <v>255.33</v>
      </c>
      <c r="I5" s="168">
        <v>255.33</v>
      </c>
      <c r="J5" s="168">
        <v>255.34</v>
      </c>
    </row>
    <row r="6" spans="1:10" s="84" customFormat="1" ht="13.5" customHeight="1">
      <c r="A6" s="169" t="s">
        <v>331</v>
      </c>
      <c r="B6" s="170">
        <f>SUM(B2:B5)</f>
        <v>1644.74</v>
      </c>
      <c r="C6" s="170">
        <f>SUM(C2:C5)</f>
        <v>1644.74</v>
      </c>
      <c r="D6" s="170">
        <f>SUM(D2:D5)</f>
        <v>1644.74</v>
      </c>
      <c r="E6" s="170">
        <f>SUM(E2:E5)</f>
        <v>4332.92</v>
      </c>
      <c r="F6" s="170">
        <f>SUM(F2:F5)</f>
        <v>3333.76</v>
      </c>
      <c r="G6" s="170">
        <f>SUM(G2:G5)</f>
        <v>3132.45</v>
      </c>
      <c r="H6" s="170">
        <f>SUM(H2:H5)</f>
        <v>2443.92</v>
      </c>
      <c r="I6" s="170">
        <f>SUM(I2:I5)</f>
        <v>2443.92</v>
      </c>
      <c r="J6" s="170">
        <f>SUM(J2:J5)</f>
        <v>255.34</v>
      </c>
    </row>
  </sheetData>
  <sheetProtection selectLockedCells="1" selectUnlockedCells="1"/>
  <printOptions horizontalCentered="1"/>
  <pageMargins left="0.39375" right="0.39375" top="0.9256944444444444" bottom="0.39375" header="0.5902777777777778" footer="0.5118055555555555"/>
  <pageSetup horizontalDpi="300" verticalDpi="300" orientation="landscape" paperSize="9"/>
  <headerFooter alignWithMargins="0">
    <oddHeader>&amp;L&amp;10Edition du &amp;D&amp;C&amp;10Amortissements</oddHeader>
  </headerFooter>
</worksheet>
</file>

<file path=xl/worksheets/sheet8.xml><?xml version="1.0" encoding="utf-8"?>
<worksheet xmlns="http://schemas.openxmlformats.org/spreadsheetml/2006/main" xmlns:r="http://schemas.openxmlformats.org/officeDocument/2006/relationships">
  <dimension ref="A1:J1002"/>
  <sheetViews>
    <sheetView workbookViewId="0" topLeftCell="A1">
      <pane ySplit="705" topLeftCell="A1" activePane="bottomLeft" state="split"/>
      <selection pane="topLeft" activeCell="A1" sqref="A1"/>
      <selection pane="bottomLeft" activeCell="A23" sqref="A23"/>
    </sheetView>
  </sheetViews>
  <sheetFormatPr defaultColWidth="14.66015625" defaultRowHeight="11.25"/>
  <cols>
    <col min="1" max="1" width="9.16015625" style="35" customWidth="1"/>
    <col min="2" max="3" width="13.16015625" style="0" customWidth="1"/>
    <col min="4" max="4" width="31.16015625" style="0" customWidth="1"/>
    <col min="5" max="5" width="14.16015625" style="0" customWidth="1"/>
    <col min="6" max="6" width="24.66015625" style="0" customWidth="1"/>
    <col min="7" max="7" width="17.5" style="0" customWidth="1"/>
    <col min="8" max="8" width="10.33203125" style="0" customWidth="1"/>
    <col min="9" max="9" width="11.66015625" style="0" customWidth="1"/>
    <col min="10" max="10" width="24" style="0" customWidth="1"/>
    <col min="11" max="16384" width="14.33203125" style="0" customWidth="1"/>
  </cols>
  <sheetData>
    <row r="1" spans="1:10" ht="10.5">
      <c r="A1" s="38" t="s">
        <v>149</v>
      </c>
      <c r="B1" s="39" t="s">
        <v>150</v>
      </c>
      <c r="C1" s="40" t="s">
        <v>151</v>
      </c>
      <c r="D1" s="41" t="s">
        <v>152</v>
      </c>
      <c r="E1" s="40" t="s">
        <v>153</v>
      </c>
      <c r="F1" s="41" t="s">
        <v>154</v>
      </c>
      <c r="G1" s="42" t="s">
        <v>155</v>
      </c>
      <c r="H1" s="42" t="s">
        <v>93</v>
      </c>
      <c r="I1" s="43" t="s">
        <v>156</v>
      </c>
      <c r="J1" s="44" t="s">
        <v>91</v>
      </c>
    </row>
    <row r="2" spans="1:10" ht="10.5">
      <c r="A2" s="47"/>
      <c r="B2" s="48">
        <v>38626</v>
      </c>
      <c r="C2" s="49" t="s">
        <v>144</v>
      </c>
      <c r="D2" s="50">
        <f>VLOOKUP(C2,Comptes!$A$2:$B$60,2,FALSE)</f>
        <v>0</v>
      </c>
      <c r="E2" s="51">
        <v>110000</v>
      </c>
      <c r="F2" s="50">
        <f>VLOOKUP(E2,Comptes!$A$2:$B$60,2,FALSE)</f>
        <v>0</v>
      </c>
      <c r="G2" s="49"/>
      <c r="H2" s="49"/>
      <c r="I2" s="52">
        <v>18993.52</v>
      </c>
      <c r="J2" s="53" t="s">
        <v>158</v>
      </c>
    </row>
    <row r="3" spans="1:10" ht="10.5">
      <c r="A3" s="47"/>
      <c r="B3" s="48">
        <v>38626</v>
      </c>
      <c r="C3" s="49" t="s">
        <v>144</v>
      </c>
      <c r="D3" s="50">
        <f>VLOOKUP(C3,Comptes!$A$2:$B$60,2,FALSE)</f>
        <v>0</v>
      </c>
      <c r="E3" s="51">
        <v>110000</v>
      </c>
      <c r="F3" s="50">
        <f>VLOOKUP(E3,Comptes!$A$2:$B$60,2,FALSE)</f>
        <v>0</v>
      </c>
      <c r="G3" s="49"/>
      <c r="H3" s="49"/>
      <c r="I3" s="52">
        <v>-8289.6</v>
      </c>
      <c r="J3" s="53" t="s">
        <v>388</v>
      </c>
    </row>
    <row r="4" spans="1:10" ht="10.5">
      <c r="A4" s="47"/>
      <c r="B4" s="48">
        <v>38626</v>
      </c>
      <c r="C4" s="51">
        <v>210000</v>
      </c>
      <c r="D4" s="50">
        <f>VLOOKUP(C4,Comptes!$A$2:$B$60,2,FALSE)</f>
        <v>0</v>
      </c>
      <c r="E4" s="49" t="s">
        <v>144</v>
      </c>
      <c r="F4" s="50">
        <f>VLOOKUP(E4,Comptes!$A$2:$B$60,2,FALSE)</f>
        <v>0</v>
      </c>
      <c r="G4" s="49"/>
      <c r="H4" s="49"/>
      <c r="I4" s="52">
        <v>14422.66</v>
      </c>
      <c r="J4" s="53"/>
    </row>
    <row r="5" spans="1:10" ht="10.5">
      <c r="A5" s="47"/>
      <c r="B5" s="48">
        <v>38626</v>
      </c>
      <c r="C5" s="51">
        <v>210000</v>
      </c>
      <c r="D5" s="50">
        <f>VLOOKUP(C5,Comptes!$A$2:$B$60,2,FALSE)</f>
        <v>0</v>
      </c>
      <c r="E5" s="49" t="s">
        <v>144</v>
      </c>
      <c r="F5" s="50">
        <f>VLOOKUP(E5,Comptes!$A$2:$B$60,2,FALSE)</f>
        <v>0</v>
      </c>
      <c r="G5" s="49"/>
      <c r="H5" s="49"/>
      <c r="I5" s="52">
        <v>50593.22</v>
      </c>
      <c r="J5" s="53"/>
    </row>
    <row r="6" spans="1:10" ht="10.5">
      <c r="A6" s="47"/>
      <c r="B6" s="48">
        <v>38626</v>
      </c>
      <c r="C6" s="51">
        <v>210000</v>
      </c>
      <c r="D6" s="50">
        <f>VLOOKUP(C6,Comptes!$A$2:$B$60,2,FALSE)</f>
        <v>0</v>
      </c>
      <c r="E6" s="49" t="s">
        <v>144</v>
      </c>
      <c r="F6" s="50">
        <f>VLOOKUP(E6,Comptes!$A$2:$B$60,2,FALSE)</f>
        <v>0</v>
      </c>
      <c r="G6" s="49"/>
      <c r="H6" s="49"/>
      <c r="I6" s="52">
        <v>2135.78</v>
      </c>
      <c r="J6" s="53"/>
    </row>
    <row r="7" spans="1:10" ht="10.5">
      <c r="A7" s="47"/>
      <c r="B7" s="48">
        <v>38626</v>
      </c>
      <c r="C7" s="49" t="s">
        <v>144</v>
      </c>
      <c r="D7" s="50">
        <f>VLOOKUP(C7,Comptes!$A$2:$B$60,2,FALSE)</f>
        <v>0</v>
      </c>
      <c r="E7" s="51">
        <v>281000</v>
      </c>
      <c r="F7" s="50">
        <f>VLOOKUP(E7,Comptes!$A$2:$B$60,2,FALSE)</f>
        <v>0</v>
      </c>
      <c r="G7" s="49"/>
      <c r="H7" s="49"/>
      <c r="I7" s="52">
        <v>59642.03</v>
      </c>
      <c r="J7" s="53" t="s">
        <v>160</v>
      </c>
    </row>
    <row r="8" spans="1:10" ht="10.5">
      <c r="A8" s="47"/>
      <c r="B8" s="48">
        <v>38990</v>
      </c>
      <c r="C8" s="51">
        <v>680000</v>
      </c>
      <c r="D8" s="50">
        <f>VLOOKUP(C8,Comptes!$A$2:$B$60,2,FALSE)</f>
        <v>0</v>
      </c>
      <c r="E8" s="51">
        <v>281000</v>
      </c>
      <c r="F8" s="50">
        <f>VLOOKUP(E8,Comptes!$A$2:$B$60,2,FALSE)</f>
        <v>0</v>
      </c>
      <c r="G8" s="49"/>
      <c r="H8" s="49"/>
      <c r="I8" s="52">
        <v>943.85</v>
      </c>
      <c r="J8" s="53" t="s">
        <v>161</v>
      </c>
    </row>
    <row r="9" spans="1:10" ht="10.5">
      <c r="A9" s="47"/>
      <c r="B9" s="48">
        <v>38990</v>
      </c>
      <c r="C9" s="51">
        <v>680000</v>
      </c>
      <c r="D9" s="50">
        <f>VLOOKUP(C9,Comptes!$A$2:$B$60,2,FALSE)</f>
        <v>0</v>
      </c>
      <c r="E9" s="51">
        <v>281000</v>
      </c>
      <c r="F9" s="50">
        <f>VLOOKUP(E9,Comptes!$A$2:$B$60,2,FALSE)</f>
        <v>0</v>
      </c>
      <c r="G9" s="49"/>
      <c r="H9" s="49"/>
      <c r="I9" s="52">
        <v>2188.6</v>
      </c>
      <c r="J9" s="53"/>
    </row>
    <row r="10" spans="1:10" ht="10.5">
      <c r="A10" s="47">
        <v>234372</v>
      </c>
      <c r="B10" s="48">
        <v>38626</v>
      </c>
      <c r="C10" s="49" t="s">
        <v>144</v>
      </c>
      <c r="D10" s="50">
        <f>VLOOKUP(C10,Comptes!$A$2:$B$60,2,FALSE)</f>
        <v>0</v>
      </c>
      <c r="E10" s="51">
        <v>430000</v>
      </c>
      <c r="F10" s="50">
        <f>VLOOKUP(E10,Comptes!$A$2:$B$60,2,FALSE)</f>
        <v>0</v>
      </c>
      <c r="G10" s="49" t="s">
        <v>184</v>
      </c>
      <c r="H10" s="49"/>
      <c r="I10" s="52">
        <v>2661</v>
      </c>
      <c r="J10" s="53" t="s">
        <v>389</v>
      </c>
    </row>
    <row r="11" spans="1:10" ht="10.5">
      <c r="A11" s="47">
        <v>234372</v>
      </c>
      <c r="B11" s="48">
        <v>38626</v>
      </c>
      <c r="C11" s="51">
        <v>430000</v>
      </c>
      <c r="D11" s="50">
        <f>VLOOKUP(C11,Comptes!$A$2:$B$60,2,FALSE)</f>
        <v>0</v>
      </c>
      <c r="E11" s="49">
        <v>512000</v>
      </c>
      <c r="F11" s="50">
        <f>VLOOKUP(E11,Comptes!$A$2:$B$60,2,FALSE)</f>
        <v>0</v>
      </c>
      <c r="G11" s="49" t="s">
        <v>184</v>
      </c>
      <c r="H11" s="49" t="s">
        <v>390</v>
      </c>
      <c r="I11" s="52">
        <v>339</v>
      </c>
      <c r="J11" s="53" t="s">
        <v>389</v>
      </c>
    </row>
    <row r="12" spans="1:10" ht="10.5">
      <c r="A12" s="47">
        <v>234372</v>
      </c>
      <c r="B12" s="48">
        <v>38626</v>
      </c>
      <c r="C12" s="51">
        <v>430000</v>
      </c>
      <c r="D12" s="50">
        <f>VLOOKUP(C12,Comptes!$A$2:$B$60,2,FALSE)</f>
        <v>0</v>
      </c>
      <c r="E12" s="49">
        <v>512000</v>
      </c>
      <c r="F12" s="50">
        <f>VLOOKUP(E12,Comptes!$A$2:$B$60,2,FALSE)</f>
        <v>0</v>
      </c>
      <c r="G12" s="49" t="s">
        <v>184</v>
      </c>
      <c r="H12" s="49" t="s">
        <v>391</v>
      </c>
      <c r="I12" s="52">
        <v>485</v>
      </c>
      <c r="J12" s="53" t="s">
        <v>389</v>
      </c>
    </row>
    <row r="13" spans="1:10" ht="10.5">
      <c r="A13" s="47">
        <v>234372</v>
      </c>
      <c r="B13" s="48">
        <v>38626</v>
      </c>
      <c r="C13" s="51">
        <v>430000</v>
      </c>
      <c r="D13" s="50">
        <f>VLOOKUP(C13,Comptes!$A$2:$B$60,2,FALSE)</f>
        <v>0</v>
      </c>
      <c r="E13" s="49">
        <v>512000</v>
      </c>
      <c r="F13" s="50">
        <f>VLOOKUP(E13,Comptes!$A$2:$B$60,2,FALSE)</f>
        <v>0</v>
      </c>
      <c r="G13" s="49" t="s">
        <v>184</v>
      </c>
      <c r="H13" s="49" t="s">
        <v>390</v>
      </c>
      <c r="I13" s="52">
        <v>1837</v>
      </c>
      <c r="J13" s="53" t="s">
        <v>389</v>
      </c>
    </row>
    <row r="14" spans="1:10" ht="10.5">
      <c r="A14" s="47"/>
      <c r="B14" s="48">
        <v>38625</v>
      </c>
      <c r="C14" s="49" t="s">
        <v>144</v>
      </c>
      <c r="D14" s="50">
        <f>VLOOKUP(C14,Comptes!$A$2:$B$60,2,FALSE)</f>
        <v>0</v>
      </c>
      <c r="E14" s="51">
        <v>468600</v>
      </c>
      <c r="F14" s="50">
        <f>VLOOKUP(E14,Comptes!$A$2:$B$60,2,FALSE)</f>
        <v>0</v>
      </c>
      <c r="G14" s="49"/>
      <c r="H14" s="49"/>
      <c r="I14" s="52">
        <v>2100</v>
      </c>
      <c r="J14" s="53" t="s">
        <v>163</v>
      </c>
    </row>
    <row r="15" spans="1:10" ht="10.5">
      <c r="A15" s="47"/>
      <c r="B15" s="48">
        <v>38626</v>
      </c>
      <c r="C15" s="49">
        <v>468600</v>
      </c>
      <c r="D15" s="50" t="s">
        <v>106</v>
      </c>
      <c r="E15" s="51">
        <v>630000</v>
      </c>
      <c r="F15" s="50" t="s">
        <v>392</v>
      </c>
      <c r="G15" s="49"/>
      <c r="H15" s="49"/>
      <c r="I15" s="52">
        <v>2100</v>
      </c>
      <c r="J15" s="53" t="s">
        <v>163</v>
      </c>
    </row>
    <row r="16" spans="1:10" ht="10.5">
      <c r="A16" s="47">
        <v>245256</v>
      </c>
      <c r="B16" s="48">
        <v>38641</v>
      </c>
      <c r="C16" s="49" t="s">
        <v>144</v>
      </c>
      <c r="D16" s="50">
        <f>VLOOKUP(C16,Comptes!$A$2:$B$60,2,FALSE)</f>
        <v>0</v>
      </c>
      <c r="E16" s="51">
        <v>468600</v>
      </c>
      <c r="F16" s="50">
        <f>VLOOKUP(E16,Comptes!$A$2:$B$60,2,FALSE)</f>
        <v>0</v>
      </c>
      <c r="G16" s="49"/>
      <c r="H16" s="49"/>
      <c r="I16" s="52">
        <v>610</v>
      </c>
      <c r="J16" s="53"/>
    </row>
    <row r="17" spans="1:10" ht="10.5">
      <c r="A17" s="47">
        <v>245256</v>
      </c>
      <c r="B17" s="48">
        <v>38641</v>
      </c>
      <c r="C17" s="49">
        <v>468600</v>
      </c>
      <c r="D17" s="50">
        <f>VLOOKUP(C17,Comptes!$A$2:$B$60,2,FALSE)</f>
        <v>0</v>
      </c>
      <c r="E17" s="49">
        <v>512000</v>
      </c>
      <c r="F17" s="50">
        <f>VLOOKUP(E17,Comptes!$A$2:$B$60,2,FALSE)</f>
        <v>0</v>
      </c>
      <c r="G17" s="49" t="s">
        <v>393</v>
      </c>
      <c r="H17" s="49" t="s">
        <v>390</v>
      </c>
      <c r="I17" s="52">
        <v>610</v>
      </c>
      <c r="J17" s="53"/>
    </row>
    <row r="18" spans="1:10" ht="10.5">
      <c r="A18" s="47">
        <v>245256</v>
      </c>
      <c r="B18" s="48">
        <v>38641</v>
      </c>
      <c r="C18" s="49" t="s">
        <v>144</v>
      </c>
      <c r="D18" s="50">
        <f>VLOOKUP(C18,Comptes!$A$2:$B$60,2,FALSE)</f>
        <v>0</v>
      </c>
      <c r="E18" s="49">
        <v>468600</v>
      </c>
      <c r="F18" s="50">
        <f>VLOOKUP(E18,Comptes!$A$2:$B$60,2,FALSE)</f>
        <v>0</v>
      </c>
      <c r="G18" s="49"/>
      <c r="H18" s="49"/>
      <c r="I18" s="52">
        <v>929.83</v>
      </c>
      <c r="J18" s="53"/>
    </row>
    <row r="19" spans="1:10" ht="10.5">
      <c r="A19" s="47">
        <v>245256</v>
      </c>
      <c r="B19" s="48">
        <v>38641</v>
      </c>
      <c r="C19" s="49">
        <v>468600</v>
      </c>
      <c r="D19" s="50">
        <f>VLOOKUP(C19,Comptes!$A$2:$B$60,2,FALSE)</f>
        <v>0</v>
      </c>
      <c r="E19" s="49">
        <v>512000</v>
      </c>
      <c r="F19" s="50">
        <f>VLOOKUP(E19,Comptes!$A$2:$B$60,2,FALSE)</f>
        <v>0</v>
      </c>
      <c r="G19" s="49" t="s">
        <v>394</v>
      </c>
      <c r="H19" s="49" t="s">
        <v>390</v>
      </c>
      <c r="I19" s="52">
        <v>929.83</v>
      </c>
      <c r="J19" s="53"/>
    </row>
    <row r="20" spans="1:10" ht="10.5">
      <c r="A20" s="47">
        <v>256002</v>
      </c>
      <c r="B20" s="48">
        <v>38507</v>
      </c>
      <c r="C20" s="49" t="s">
        <v>144</v>
      </c>
      <c r="D20" s="50">
        <f>VLOOKUP(C20,Comptes!$A$2:$B$60,2,FALSE)</f>
        <v>0</v>
      </c>
      <c r="E20" s="51">
        <v>468600</v>
      </c>
      <c r="F20" s="50">
        <f>VLOOKUP(E20,Comptes!$A$2:$B$60,2,FALSE)</f>
        <v>0</v>
      </c>
      <c r="G20" s="49"/>
      <c r="H20" s="49"/>
      <c r="I20" s="52">
        <v>1336.87</v>
      </c>
      <c r="J20" s="53"/>
    </row>
    <row r="21" spans="1:10" ht="10.5">
      <c r="A21" s="47">
        <v>256002</v>
      </c>
      <c r="B21" s="48">
        <v>38507</v>
      </c>
      <c r="C21" s="49">
        <v>468600</v>
      </c>
      <c r="D21" s="50">
        <f>VLOOKUP(C21,Comptes!$A$2:$B$60,2,FALSE)</f>
        <v>0</v>
      </c>
      <c r="E21" s="49">
        <v>512000</v>
      </c>
      <c r="F21" s="50">
        <f>VLOOKUP(E21,Comptes!$A$2:$B$60,2,FALSE)</f>
        <v>0</v>
      </c>
      <c r="G21" s="49" t="s">
        <v>395</v>
      </c>
      <c r="H21" s="49" t="s">
        <v>396</v>
      </c>
      <c r="I21" s="52">
        <v>1336.87</v>
      </c>
      <c r="J21" s="53"/>
    </row>
    <row r="22" spans="1:10" ht="10.5">
      <c r="A22" s="47">
        <v>256002</v>
      </c>
      <c r="B22" s="48">
        <v>38507</v>
      </c>
      <c r="C22" s="49">
        <v>468600</v>
      </c>
      <c r="D22" s="50">
        <f>VLOOKUP(C22,Comptes!$A$2:$B$60,2,FALSE)</f>
        <v>0</v>
      </c>
      <c r="E22" s="49">
        <v>512000</v>
      </c>
      <c r="F22" s="50">
        <f>VLOOKUP(E22,Comptes!$A$2:$B$60,2,FALSE)</f>
        <v>0</v>
      </c>
      <c r="G22" s="49" t="s">
        <v>397</v>
      </c>
      <c r="H22" s="49" t="s">
        <v>396</v>
      </c>
      <c r="I22" s="52">
        <v>6336.87</v>
      </c>
      <c r="J22" s="53" t="s">
        <v>398</v>
      </c>
    </row>
    <row r="23" spans="1:10" ht="10.5">
      <c r="A23" s="47">
        <v>256002</v>
      </c>
      <c r="B23" s="48">
        <v>38507</v>
      </c>
      <c r="C23" s="49">
        <v>512000</v>
      </c>
      <c r="D23" s="50">
        <f>VLOOKUP(C23,Comptes!$A$2:$B$60,2,FALSE)</f>
        <v>0</v>
      </c>
      <c r="E23" s="49">
        <v>468600</v>
      </c>
      <c r="F23" s="50">
        <f>VLOOKUP(E23,Comptes!$A$2:$B$60,2,FALSE)</f>
        <v>0</v>
      </c>
      <c r="G23" s="49" t="s">
        <v>170</v>
      </c>
      <c r="H23" s="49" t="s">
        <v>396</v>
      </c>
      <c r="I23" s="52">
        <v>6336.87</v>
      </c>
      <c r="J23" s="53" t="s">
        <v>399</v>
      </c>
    </row>
    <row r="24" spans="1:10" ht="10.5">
      <c r="A24" s="47">
        <v>256011</v>
      </c>
      <c r="B24" s="48">
        <v>38640</v>
      </c>
      <c r="C24" s="49" t="s">
        <v>144</v>
      </c>
      <c r="D24" s="50">
        <f>VLOOKUP(C24,Comptes!$A$2:$B$60,2,FALSE)</f>
        <v>0</v>
      </c>
      <c r="E24" s="51">
        <v>468600</v>
      </c>
      <c r="F24" s="50">
        <f>VLOOKUP(E24,Comptes!$A$2:$B$60,2,FALSE)</f>
        <v>0</v>
      </c>
      <c r="G24" s="49"/>
      <c r="H24" s="49"/>
      <c r="I24" s="52">
        <v>562.1</v>
      </c>
      <c r="J24" s="53"/>
    </row>
    <row r="25" spans="1:10" ht="10.5">
      <c r="A25" s="47">
        <v>256011</v>
      </c>
      <c r="B25" s="48">
        <v>38640</v>
      </c>
      <c r="C25" s="49">
        <v>468600</v>
      </c>
      <c r="D25" s="50">
        <f>VLOOKUP(C25,Comptes!$A$2:$B$60,2,FALSE)</f>
        <v>0</v>
      </c>
      <c r="E25" s="49">
        <v>530000</v>
      </c>
      <c r="F25" s="50">
        <f>VLOOKUP(E25,Comptes!$A$2:$B$60,2,FALSE)</f>
        <v>0</v>
      </c>
      <c r="G25" s="49"/>
      <c r="H25" s="49"/>
      <c r="I25" s="52">
        <v>562.1</v>
      </c>
      <c r="J25" s="53"/>
    </row>
    <row r="26" spans="1:10" ht="10.5">
      <c r="A26" s="47">
        <v>234095</v>
      </c>
      <c r="B26" s="48">
        <v>38594</v>
      </c>
      <c r="C26" s="51">
        <v>511200</v>
      </c>
      <c r="D26" s="50">
        <f>VLOOKUP(C26,Comptes!$A$2:$B$60,2,FALSE)</f>
        <v>0</v>
      </c>
      <c r="E26" s="49" t="s">
        <v>144</v>
      </c>
      <c r="F26" s="50">
        <f>VLOOKUP(E26,Comptes!$A$2:$B$60,2,FALSE)</f>
        <v>0</v>
      </c>
      <c r="G26" s="49" t="s">
        <v>170</v>
      </c>
      <c r="H26" s="49"/>
      <c r="I26" s="52">
        <v>122</v>
      </c>
      <c r="J26" s="53"/>
    </row>
    <row r="27" spans="1:10" ht="10.5">
      <c r="A27" s="47"/>
      <c r="B27" s="48">
        <v>38626</v>
      </c>
      <c r="C27" s="51">
        <v>512000</v>
      </c>
      <c r="D27" s="50">
        <f>VLOOKUP(C27,Comptes!$A$2:$B$60,2,FALSE)</f>
        <v>0</v>
      </c>
      <c r="E27" s="49" t="s">
        <v>144</v>
      </c>
      <c r="F27" s="50">
        <f>VLOOKUP(E27,Comptes!$A$2:$B$60,2,FALSE)</f>
        <v>0</v>
      </c>
      <c r="G27" s="49"/>
      <c r="H27" s="49" t="s">
        <v>396</v>
      </c>
      <c r="I27" s="52">
        <v>5538.12</v>
      </c>
      <c r="J27" s="53"/>
    </row>
    <row r="28" spans="1:10" ht="10.5">
      <c r="A28" s="47"/>
      <c r="B28" s="48">
        <v>38626</v>
      </c>
      <c r="C28" s="51">
        <v>512100</v>
      </c>
      <c r="D28" s="50">
        <f>VLOOKUP(C28,Comptes!$A$2:$B$60,2,FALSE)</f>
        <v>0</v>
      </c>
      <c r="E28" s="49" t="s">
        <v>144</v>
      </c>
      <c r="F28" s="50">
        <f>VLOOKUP(E28,Comptes!$A$2:$B$60,2,FALSE)</f>
        <v>0</v>
      </c>
      <c r="G28" s="49"/>
      <c r="H28" s="49"/>
      <c r="I28" s="52">
        <v>5623.46</v>
      </c>
      <c r="J28" s="53"/>
    </row>
    <row r="29" spans="1:10" ht="10.5">
      <c r="A29" s="47"/>
      <c r="B29" s="48">
        <v>38626</v>
      </c>
      <c r="C29" s="51">
        <v>530000</v>
      </c>
      <c r="D29" s="50">
        <f>VLOOKUP(C29,Comptes!$A$2:$B$60,2,FALSE)</f>
        <v>0</v>
      </c>
      <c r="E29" s="49" t="s">
        <v>144</v>
      </c>
      <c r="F29" s="50">
        <f>VLOOKUP(E29,Comptes!$A$2:$B$60,2,FALSE)</f>
        <v>0</v>
      </c>
      <c r="G29" s="49"/>
      <c r="H29" s="56"/>
      <c r="I29" s="52">
        <v>110.51</v>
      </c>
      <c r="J29" s="53"/>
    </row>
    <row r="30" spans="1:10" ht="10.5">
      <c r="A30" s="65">
        <v>256001</v>
      </c>
      <c r="B30" s="57">
        <v>38627</v>
      </c>
      <c r="C30" s="60">
        <v>606700</v>
      </c>
      <c r="D30" s="58">
        <f>VLOOKUP(C30,Comptes!$A$2:$B$60,2,FALSE)</f>
        <v>0</v>
      </c>
      <c r="E30" s="60">
        <v>530000</v>
      </c>
      <c r="F30" s="58">
        <f>VLOOKUP(E30,Comptes!$A$2:$B$60,2,FALSE)</f>
        <v>0</v>
      </c>
      <c r="G30" s="59"/>
      <c r="H30" s="59"/>
      <c r="I30" s="61">
        <v>7.05</v>
      </c>
      <c r="J30" s="64" t="s">
        <v>187</v>
      </c>
    </row>
    <row r="31" spans="1:10" ht="10.5">
      <c r="A31" s="65">
        <v>256001</v>
      </c>
      <c r="B31" s="57">
        <v>38627</v>
      </c>
      <c r="C31" s="60">
        <v>615000</v>
      </c>
      <c r="D31" s="58">
        <f>VLOOKUP(C31,Comptes!$A$2:$B$60,2,FALSE)</f>
        <v>0</v>
      </c>
      <c r="E31" s="59">
        <v>512000</v>
      </c>
      <c r="F31" s="58">
        <f>VLOOKUP(E31,Comptes!$A$2:$B$60,2,FALSE)</f>
        <v>0</v>
      </c>
      <c r="G31" s="59" t="s">
        <v>400</v>
      </c>
      <c r="H31" s="59" t="s">
        <v>396</v>
      </c>
      <c r="I31" s="61">
        <v>25.67</v>
      </c>
      <c r="J31" s="64"/>
    </row>
    <row r="32" spans="1:10" ht="10.5">
      <c r="A32" s="65">
        <v>256001</v>
      </c>
      <c r="B32" s="57">
        <v>38627</v>
      </c>
      <c r="C32" s="60">
        <v>606700</v>
      </c>
      <c r="D32" s="58">
        <f>VLOOKUP(C32,Comptes!$A$2:$B$60,2,FALSE)</f>
        <v>0</v>
      </c>
      <c r="E32" s="60">
        <v>512000</v>
      </c>
      <c r="F32" s="58">
        <f>VLOOKUP(E32,Comptes!$A$2:$B$60,2,FALSE)</f>
        <v>0</v>
      </c>
      <c r="G32" s="59" t="s">
        <v>401</v>
      </c>
      <c r="H32" s="59" t="s">
        <v>396</v>
      </c>
      <c r="I32" s="61">
        <v>14.92</v>
      </c>
      <c r="J32" s="66"/>
    </row>
    <row r="33" spans="1:10" ht="10.5">
      <c r="A33" s="65">
        <v>256001</v>
      </c>
      <c r="B33" s="57">
        <v>38627</v>
      </c>
      <c r="C33" s="60">
        <v>615000</v>
      </c>
      <c r="D33" s="58">
        <f>VLOOKUP(C33,Comptes!$A$2:$B$60,2,FALSE)</f>
        <v>0</v>
      </c>
      <c r="E33" s="60">
        <v>530000</v>
      </c>
      <c r="F33" s="58">
        <f>VLOOKUP(E33,Comptes!$A$2:$B$60,2,FALSE)</f>
        <v>0</v>
      </c>
      <c r="G33" s="59"/>
      <c r="H33" s="59"/>
      <c r="I33" s="61">
        <v>18</v>
      </c>
      <c r="J33" s="66"/>
    </row>
    <row r="34" spans="1:10" ht="10.5">
      <c r="A34" s="65">
        <v>256001</v>
      </c>
      <c r="B34" s="57">
        <v>38627</v>
      </c>
      <c r="C34" s="60">
        <v>606700</v>
      </c>
      <c r="D34" s="58">
        <f>VLOOKUP(C34,Comptes!$A$2:$B$60,2,FALSE)</f>
        <v>0</v>
      </c>
      <c r="E34" s="60">
        <v>530000</v>
      </c>
      <c r="F34" s="58">
        <f>VLOOKUP(E34,Comptes!$A$2:$B$60,2,FALSE)</f>
        <v>0</v>
      </c>
      <c r="G34" s="59"/>
      <c r="H34" s="59"/>
      <c r="I34" s="61">
        <v>36.09</v>
      </c>
      <c r="J34" s="64"/>
    </row>
    <row r="35" spans="1:10" ht="10.5">
      <c r="A35" s="65">
        <v>256003</v>
      </c>
      <c r="B35" s="57">
        <v>38632</v>
      </c>
      <c r="C35" s="60">
        <v>606700</v>
      </c>
      <c r="D35" s="58">
        <f>VLOOKUP(C35,Comptes!$A$2:$B$60,2,FALSE)</f>
        <v>0</v>
      </c>
      <c r="E35" s="59">
        <v>512000</v>
      </c>
      <c r="F35" s="58">
        <f>VLOOKUP(E35,Comptes!$A$2:$B$60,2,FALSE)</f>
        <v>0</v>
      </c>
      <c r="G35" s="59" t="s">
        <v>402</v>
      </c>
      <c r="H35" s="59" t="s">
        <v>396</v>
      </c>
      <c r="I35" s="61">
        <v>17</v>
      </c>
      <c r="J35" s="64"/>
    </row>
    <row r="36" spans="1:10" ht="10.5">
      <c r="A36" s="65">
        <v>256003</v>
      </c>
      <c r="B36" s="57">
        <v>38632</v>
      </c>
      <c r="C36" s="60">
        <v>606700</v>
      </c>
      <c r="D36" s="58">
        <f>VLOOKUP(C36,Comptes!$A$2:$B$60,2,FALSE)</f>
        <v>0</v>
      </c>
      <c r="E36" s="59">
        <v>512000</v>
      </c>
      <c r="F36" s="58">
        <f>VLOOKUP(E36,Comptes!$A$2:$B$60,2,FALSE)</f>
        <v>0</v>
      </c>
      <c r="G36" s="59" t="s">
        <v>403</v>
      </c>
      <c r="H36" s="59" t="s">
        <v>396</v>
      </c>
      <c r="I36" s="61">
        <v>16.95</v>
      </c>
      <c r="J36" s="64"/>
    </row>
    <row r="37" spans="1:10" ht="10.5">
      <c r="A37" s="65">
        <v>256003</v>
      </c>
      <c r="B37" s="57">
        <v>38632</v>
      </c>
      <c r="C37" s="60">
        <v>606700</v>
      </c>
      <c r="D37" s="58">
        <f>VLOOKUP(C37,Comptes!$A$2:$B$60,2,FALSE)</f>
        <v>0</v>
      </c>
      <c r="E37" s="59">
        <v>512000</v>
      </c>
      <c r="F37" s="58">
        <f>VLOOKUP(E37,Comptes!$A$2:$B$60,2,FALSE)</f>
        <v>0</v>
      </c>
      <c r="G37" s="59" t="s">
        <v>404</v>
      </c>
      <c r="H37" s="59" t="s">
        <v>396</v>
      </c>
      <c r="I37" s="61">
        <v>115.93</v>
      </c>
      <c r="J37" s="64"/>
    </row>
    <row r="38" spans="1:10" ht="10.5">
      <c r="A38" s="65">
        <v>256004</v>
      </c>
      <c r="B38" s="57">
        <v>38636</v>
      </c>
      <c r="C38" s="60">
        <v>615000</v>
      </c>
      <c r="D38" s="58">
        <f>VLOOKUP(C38,Comptes!$A$2:$B$60,2,FALSE)</f>
        <v>0</v>
      </c>
      <c r="E38" s="59">
        <v>512000</v>
      </c>
      <c r="F38" s="58">
        <f>VLOOKUP(E38,Comptes!$A$2:$B$60,2,FALSE)</f>
        <v>0</v>
      </c>
      <c r="G38" s="59" t="s">
        <v>405</v>
      </c>
      <c r="H38" s="59" t="s">
        <v>396</v>
      </c>
      <c r="I38" s="61">
        <v>40.23</v>
      </c>
      <c r="J38" s="64"/>
    </row>
    <row r="39" spans="1:10" ht="10.5">
      <c r="A39" s="65">
        <v>256005</v>
      </c>
      <c r="B39" s="57">
        <v>38636</v>
      </c>
      <c r="C39" s="60">
        <v>606700</v>
      </c>
      <c r="D39" s="58">
        <f>VLOOKUP(C39,Comptes!$A$2:$B$60,2,FALSE)</f>
        <v>0</v>
      </c>
      <c r="E39" s="59">
        <v>512000</v>
      </c>
      <c r="F39" s="58">
        <f>VLOOKUP(E39,Comptes!$A$2:$B$60,2,FALSE)</f>
        <v>0</v>
      </c>
      <c r="G39" s="59" t="s">
        <v>406</v>
      </c>
      <c r="H39" s="59" t="s">
        <v>390</v>
      </c>
      <c r="I39" s="61">
        <v>105.2</v>
      </c>
      <c r="J39" s="64"/>
    </row>
    <row r="40" spans="1:10" ht="10.5">
      <c r="A40" s="65">
        <v>256006</v>
      </c>
      <c r="B40" s="57">
        <v>38636</v>
      </c>
      <c r="C40" s="60">
        <v>615000</v>
      </c>
      <c r="D40" s="58">
        <f>VLOOKUP(C40,Comptes!$A$2:$B$60,2,FALSE)</f>
        <v>0</v>
      </c>
      <c r="E40" s="59">
        <v>512000</v>
      </c>
      <c r="F40" s="58">
        <f>VLOOKUP(E40,Comptes!$A$2:$B$60,2,FALSE)</f>
        <v>0</v>
      </c>
      <c r="G40" s="59" t="s">
        <v>407</v>
      </c>
      <c r="H40" s="59" t="s">
        <v>396</v>
      </c>
      <c r="I40" s="61">
        <v>22.65</v>
      </c>
      <c r="J40" s="64"/>
    </row>
    <row r="41" spans="1:10" ht="10.5">
      <c r="A41" s="65">
        <v>256007</v>
      </c>
      <c r="B41" s="57">
        <v>38636</v>
      </c>
      <c r="C41" s="59">
        <v>512000</v>
      </c>
      <c r="D41" s="58">
        <f>VLOOKUP(C41,Comptes!$A$2:$B$60,2,FALSE)</f>
        <v>0</v>
      </c>
      <c r="E41" s="60">
        <v>706220</v>
      </c>
      <c r="F41" s="58">
        <f>VLOOKUP(E41,Comptes!$A$2:$B$60,2,FALSE)</f>
        <v>0</v>
      </c>
      <c r="G41" s="59" t="s">
        <v>170</v>
      </c>
      <c r="H41" s="59" t="s">
        <v>396</v>
      </c>
      <c r="I41" s="61">
        <v>78</v>
      </c>
      <c r="J41" s="64"/>
    </row>
    <row r="42" spans="1:10" ht="10.5">
      <c r="A42" s="65">
        <v>256007</v>
      </c>
      <c r="B42" s="57">
        <v>38636</v>
      </c>
      <c r="C42" s="59">
        <v>512000</v>
      </c>
      <c r="D42" s="58">
        <f>VLOOKUP(C42,Comptes!$A$2:$B$60,2,FALSE)</f>
        <v>0</v>
      </c>
      <c r="E42" s="60">
        <v>756000</v>
      </c>
      <c r="F42" s="58">
        <f>VLOOKUP(E42,Comptes!$A$2:$B$60,2,FALSE)</f>
        <v>0</v>
      </c>
      <c r="G42" s="59" t="s">
        <v>170</v>
      </c>
      <c r="H42" s="59" t="s">
        <v>396</v>
      </c>
      <c r="I42" s="61">
        <v>96</v>
      </c>
      <c r="J42" s="64"/>
    </row>
    <row r="43" spans="1:10" ht="10.5">
      <c r="A43" s="65">
        <v>256007</v>
      </c>
      <c r="B43" s="57">
        <v>38636</v>
      </c>
      <c r="C43" s="59">
        <v>512000</v>
      </c>
      <c r="D43" s="58">
        <f>VLOOKUP(C43,Comptes!$A$2:$B$60,2,FALSE)</f>
        <v>0</v>
      </c>
      <c r="E43" s="59">
        <v>708000</v>
      </c>
      <c r="F43" s="58">
        <f>VLOOKUP(E43,Comptes!$A$2:$B$60,2,FALSE)</f>
        <v>0</v>
      </c>
      <c r="G43" s="59" t="s">
        <v>170</v>
      </c>
      <c r="H43" s="59" t="s">
        <v>396</v>
      </c>
      <c r="I43" s="61">
        <v>24</v>
      </c>
      <c r="J43" s="64"/>
    </row>
    <row r="44" spans="1:10" ht="10.5">
      <c r="A44" s="65">
        <v>256007</v>
      </c>
      <c r="B44" s="57">
        <v>38636</v>
      </c>
      <c r="C44" s="59">
        <v>512000</v>
      </c>
      <c r="D44" s="58">
        <f>VLOOKUP(C44,Comptes!$A$2:$B$60,2,FALSE)</f>
        <v>0</v>
      </c>
      <c r="E44" s="59">
        <v>706210</v>
      </c>
      <c r="F44" s="58">
        <f>VLOOKUP(E44,Comptes!$A$2:$B$60,2,FALSE)</f>
        <v>0</v>
      </c>
      <c r="G44" s="59" t="s">
        <v>170</v>
      </c>
      <c r="H44" s="59" t="s">
        <v>396</v>
      </c>
      <c r="I44" s="61">
        <v>200</v>
      </c>
      <c r="J44" s="35"/>
    </row>
    <row r="45" spans="1:10" ht="10.5">
      <c r="A45" s="47">
        <v>256007</v>
      </c>
      <c r="B45" s="48">
        <v>38636</v>
      </c>
      <c r="C45" s="49">
        <v>512000</v>
      </c>
      <c r="D45" s="58">
        <f>VLOOKUP(C45,Comptes!$A$2:$B$60,2,FALSE)</f>
        <v>0</v>
      </c>
      <c r="E45" s="49">
        <v>511200</v>
      </c>
      <c r="F45" s="58">
        <f>VLOOKUP(E45,Comptes!$A$2:$B$60,2,FALSE)</f>
        <v>0</v>
      </c>
      <c r="G45" s="49" t="s">
        <v>170</v>
      </c>
      <c r="H45" s="59" t="s">
        <v>396</v>
      </c>
      <c r="I45" s="61">
        <v>122</v>
      </c>
      <c r="J45" s="35"/>
    </row>
    <row r="46" spans="1:10" ht="10.5">
      <c r="A46" s="65">
        <v>256007</v>
      </c>
      <c r="B46" s="57">
        <v>38636</v>
      </c>
      <c r="C46" s="59">
        <v>512000</v>
      </c>
      <c r="D46" s="58">
        <f>VLOOKUP(C46,Comptes!$A$2:$B$60,2,FALSE)</f>
        <v>0</v>
      </c>
      <c r="E46" s="59">
        <v>756000</v>
      </c>
      <c r="F46" s="58">
        <f>VLOOKUP(E46,Comptes!$A$2:$B$60,2,FALSE)</f>
        <v>0</v>
      </c>
      <c r="G46" s="59" t="s">
        <v>170</v>
      </c>
      <c r="H46" s="59" t="s">
        <v>396</v>
      </c>
      <c r="I46" s="61">
        <v>764</v>
      </c>
      <c r="J46" s="64"/>
    </row>
    <row r="47" spans="1:10" ht="10.5">
      <c r="A47" s="65">
        <v>256007</v>
      </c>
      <c r="B47" s="57">
        <v>38636</v>
      </c>
      <c r="C47" s="59">
        <v>512000</v>
      </c>
      <c r="D47" s="58">
        <f>VLOOKUP(C47,Comptes!$A$2:$B$60,2,FALSE)</f>
        <v>0</v>
      </c>
      <c r="E47" s="59">
        <v>708000</v>
      </c>
      <c r="F47" s="58">
        <f>VLOOKUP(E47,Comptes!$A$2:$B$60,2,FALSE)</f>
        <v>0</v>
      </c>
      <c r="G47" s="59" t="s">
        <v>170</v>
      </c>
      <c r="H47" s="59" t="s">
        <v>396</v>
      </c>
      <c r="I47" s="61">
        <v>176</v>
      </c>
      <c r="J47" s="64"/>
    </row>
    <row r="48" spans="1:10" ht="10.5">
      <c r="A48" s="65">
        <v>256007</v>
      </c>
      <c r="B48" s="57">
        <v>38636</v>
      </c>
      <c r="C48" s="59">
        <v>512000</v>
      </c>
      <c r="D48" s="58">
        <f>VLOOKUP(C48,Comptes!$A$2:$B$60,2,FALSE)</f>
        <v>0</v>
      </c>
      <c r="E48" s="59">
        <v>754000</v>
      </c>
      <c r="F48" s="58">
        <f>VLOOKUP(E48,Comptes!$A$2:$B$60,2,FALSE)</f>
        <v>0</v>
      </c>
      <c r="G48" s="59" t="s">
        <v>170</v>
      </c>
      <c r="H48" s="59" t="s">
        <v>396</v>
      </c>
      <c r="I48" s="61">
        <v>184</v>
      </c>
      <c r="J48" s="64"/>
    </row>
    <row r="49" spans="1:10" ht="10.5">
      <c r="A49" s="65">
        <v>256007</v>
      </c>
      <c r="B49" s="57">
        <v>38636</v>
      </c>
      <c r="C49" s="59">
        <v>530000</v>
      </c>
      <c r="D49" s="58">
        <f>VLOOKUP(C49,Comptes!$A$2:$B$60,2,FALSE)</f>
        <v>0</v>
      </c>
      <c r="E49" s="60">
        <v>706220</v>
      </c>
      <c r="F49" s="58">
        <f>VLOOKUP(E49,Comptes!$A$2:$B$60,2,FALSE)</f>
        <v>0</v>
      </c>
      <c r="G49" s="171"/>
      <c r="H49" s="59"/>
      <c r="I49" s="61">
        <v>58</v>
      </c>
      <c r="J49" s="64"/>
    </row>
    <row r="50" spans="1:10" ht="10.5">
      <c r="A50" s="65">
        <v>256007</v>
      </c>
      <c r="B50" s="57">
        <v>38636</v>
      </c>
      <c r="C50" s="59">
        <v>530000</v>
      </c>
      <c r="D50" s="58">
        <f>VLOOKUP(C50,Comptes!$A$2:$B$60,2,FALSE)</f>
        <v>0</v>
      </c>
      <c r="E50" s="60">
        <v>706230</v>
      </c>
      <c r="F50" s="58">
        <f>VLOOKUP(E50,Comptes!$A$2:$B$60,2,FALSE)</f>
        <v>0</v>
      </c>
      <c r="G50" s="59"/>
      <c r="H50" s="59"/>
      <c r="I50" s="61">
        <v>50</v>
      </c>
      <c r="J50" s="64"/>
    </row>
    <row r="51" spans="1:10" ht="10.5">
      <c r="A51" s="65">
        <v>256007</v>
      </c>
      <c r="B51" s="57">
        <v>38636</v>
      </c>
      <c r="C51" s="59">
        <v>512000</v>
      </c>
      <c r="D51" s="58">
        <f>VLOOKUP(C51,Comptes!$A$2:$B$60,2,FALSE)</f>
        <v>0</v>
      </c>
      <c r="E51" s="60">
        <v>706210</v>
      </c>
      <c r="F51" s="58">
        <f>VLOOKUP(E51,Comptes!$A$2:$B$60,2,FALSE)</f>
        <v>0</v>
      </c>
      <c r="G51" s="59" t="s">
        <v>170</v>
      </c>
      <c r="H51" s="59" t="s">
        <v>396</v>
      </c>
      <c r="I51" s="61">
        <v>274</v>
      </c>
      <c r="J51" s="64"/>
    </row>
    <row r="52" spans="1:10" ht="10.5">
      <c r="A52" s="65">
        <v>256007</v>
      </c>
      <c r="B52" s="57">
        <v>38636</v>
      </c>
      <c r="C52" s="59">
        <v>512000</v>
      </c>
      <c r="D52" s="58">
        <f>VLOOKUP(C52,Comptes!$A$2:$B$60,2,FALSE)</f>
        <v>0</v>
      </c>
      <c r="E52" s="59">
        <v>706220</v>
      </c>
      <c r="F52" s="58">
        <f>VLOOKUP(E52,Comptes!$A$2:$B$60,2,FALSE)</f>
        <v>0</v>
      </c>
      <c r="G52" s="59" t="s">
        <v>170</v>
      </c>
      <c r="H52" s="59" t="s">
        <v>396</v>
      </c>
      <c r="I52" s="61">
        <v>220</v>
      </c>
      <c r="J52" s="64"/>
    </row>
    <row r="53" spans="1:10" ht="10.5">
      <c r="A53" s="65">
        <v>256007</v>
      </c>
      <c r="B53" s="57">
        <v>38636</v>
      </c>
      <c r="C53" s="59">
        <v>512000</v>
      </c>
      <c r="D53" s="58">
        <f>VLOOKUP(C53,Comptes!$A$2:$B$60,2,FALSE)</f>
        <v>0</v>
      </c>
      <c r="E53" s="59">
        <v>706230</v>
      </c>
      <c r="F53" s="58">
        <f>VLOOKUP(E53,Comptes!$A$2:$B$60,2,FALSE)</f>
        <v>0</v>
      </c>
      <c r="G53" s="59" t="s">
        <v>170</v>
      </c>
      <c r="H53" s="59" t="s">
        <v>396</v>
      </c>
      <c r="I53" s="61">
        <v>422</v>
      </c>
      <c r="J53" s="64"/>
    </row>
    <row r="54" spans="1:10" ht="10.5">
      <c r="A54" s="65">
        <v>256007</v>
      </c>
      <c r="B54" s="57">
        <v>38636</v>
      </c>
      <c r="C54" s="59">
        <v>512000</v>
      </c>
      <c r="D54" s="58">
        <f>VLOOKUP(C54,Comptes!$A$2:$B$60,2,FALSE)</f>
        <v>0</v>
      </c>
      <c r="E54" s="59">
        <v>756000</v>
      </c>
      <c r="F54" s="58">
        <f>VLOOKUP(E54,Comptes!$A$2:$B$60,2,FALSE)</f>
        <v>0</v>
      </c>
      <c r="G54" s="59" t="s">
        <v>170</v>
      </c>
      <c r="H54" s="59" t="s">
        <v>396</v>
      </c>
      <c r="I54" s="61">
        <v>149</v>
      </c>
      <c r="J54" s="64"/>
    </row>
    <row r="55" spans="1:10" ht="10.5">
      <c r="A55" s="65">
        <v>256007</v>
      </c>
      <c r="B55" s="57">
        <v>38636</v>
      </c>
      <c r="C55" s="59">
        <v>512000</v>
      </c>
      <c r="D55" s="58">
        <f>VLOOKUP(C55,Comptes!$A$2:$B$60,2,FALSE)</f>
        <v>0</v>
      </c>
      <c r="E55" s="59">
        <v>708000</v>
      </c>
      <c r="F55" s="58">
        <f>VLOOKUP(E55,Comptes!$A$2:$B$60,2,FALSE)</f>
        <v>0</v>
      </c>
      <c r="G55" s="59" t="s">
        <v>170</v>
      </c>
      <c r="H55" s="59" t="s">
        <v>396</v>
      </c>
      <c r="I55" s="61">
        <v>40</v>
      </c>
      <c r="J55" s="64"/>
    </row>
    <row r="56" spans="1:10" ht="10.5">
      <c r="A56" s="65">
        <v>256007</v>
      </c>
      <c r="B56" s="57">
        <v>38636</v>
      </c>
      <c r="C56" s="59">
        <v>530000</v>
      </c>
      <c r="D56" s="58">
        <f>VLOOKUP(C56,Comptes!$A$2:$B$60,2,FALSE)</f>
        <v>0</v>
      </c>
      <c r="E56" s="60">
        <v>706210</v>
      </c>
      <c r="F56" s="58">
        <f>VLOOKUP(E56,Comptes!$A$2:$B$60,2,FALSE)</f>
        <v>0</v>
      </c>
      <c r="G56" s="59"/>
      <c r="H56" s="63"/>
      <c r="I56" s="61">
        <v>15</v>
      </c>
      <c r="J56" s="64"/>
    </row>
    <row r="57" spans="1:10" ht="10.5">
      <c r="A57" s="65">
        <v>256007</v>
      </c>
      <c r="B57" s="57">
        <v>38636</v>
      </c>
      <c r="C57" s="59">
        <v>530000</v>
      </c>
      <c r="D57" s="58">
        <f>VLOOKUP(C57,Comptes!$A$2:$B$60,2,FALSE)</f>
        <v>0</v>
      </c>
      <c r="E57" s="59">
        <v>706220</v>
      </c>
      <c r="F57" s="58">
        <f>VLOOKUP(E57,Comptes!$A$2:$B$60,2,FALSE)</f>
        <v>0</v>
      </c>
      <c r="G57" s="59"/>
      <c r="H57" s="63"/>
      <c r="I57" s="61">
        <v>15</v>
      </c>
      <c r="J57" s="64"/>
    </row>
    <row r="58" spans="1:10" ht="10.5">
      <c r="A58" s="65">
        <v>256007</v>
      </c>
      <c r="B58" s="57">
        <v>38636</v>
      </c>
      <c r="C58" s="59">
        <v>530000</v>
      </c>
      <c r="D58" s="58">
        <f>VLOOKUP(C58,Comptes!$A$2:$B$60,2,FALSE)</f>
        <v>0</v>
      </c>
      <c r="E58" s="59">
        <v>706230</v>
      </c>
      <c r="F58" s="58">
        <f>VLOOKUP(E58,Comptes!$A$2:$B$60,2,FALSE)</f>
        <v>0</v>
      </c>
      <c r="G58" s="59"/>
      <c r="H58" s="63"/>
      <c r="I58" s="61">
        <v>40</v>
      </c>
      <c r="J58" s="64"/>
    </row>
    <row r="59" spans="1:10" ht="10.5">
      <c r="A59" s="65">
        <v>256007</v>
      </c>
      <c r="B59" s="57">
        <v>38636</v>
      </c>
      <c r="C59" s="59">
        <v>530000</v>
      </c>
      <c r="D59" s="58">
        <f>VLOOKUP(C59,Comptes!$A$2:$B$60,2,FALSE)</f>
        <v>0</v>
      </c>
      <c r="E59" s="59">
        <v>756000</v>
      </c>
      <c r="F59" s="58">
        <f>VLOOKUP(E59,Comptes!$A$2:$B$60,2,FALSE)</f>
        <v>0</v>
      </c>
      <c r="G59" s="59"/>
      <c r="H59" s="63"/>
      <c r="I59" s="61">
        <v>32</v>
      </c>
      <c r="J59" s="64"/>
    </row>
    <row r="60" spans="1:10" ht="10.5">
      <c r="A60" s="65">
        <v>256007</v>
      </c>
      <c r="B60" s="57">
        <v>38636</v>
      </c>
      <c r="C60" s="59">
        <v>530000</v>
      </c>
      <c r="D60" s="58">
        <f>VLOOKUP(C60,Comptes!$A$2:$B$60,2,FALSE)</f>
        <v>0</v>
      </c>
      <c r="E60" s="59">
        <v>708000</v>
      </c>
      <c r="F60" s="58">
        <f>VLOOKUP(E60,Comptes!$A$2:$B$60,2,FALSE)</f>
        <v>0</v>
      </c>
      <c r="G60" s="171"/>
      <c r="H60" s="63"/>
      <c r="I60" s="61">
        <v>8</v>
      </c>
      <c r="J60" s="64"/>
    </row>
    <row r="61" spans="1:10" ht="10.5">
      <c r="A61" s="65">
        <v>256007</v>
      </c>
      <c r="B61" s="57">
        <v>38636</v>
      </c>
      <c r="C61" s="59">
        <v>530000</v>
      </c>
      <c r="D61" s="58">
        <f>VLOOKUP(C61,Comptes!$A$2:$B$60,2,FALSE)</f>
        <v>0</v>
      </c>
      <c r="E61" s="60">
        <v>706210</v>
      </c>
      <c r="F61" s="58">
        <f>VLOOKUP(E61,Comptes!$A$2:$B$60,2,FALSE)</f>
        <v>0</v>
      </c>
      <c r="G61" s="59"/>
      <c r="H61" s="63"/>
      <c r="I61" s="61">
        <v>30</v>
      </c>
      <c r="J61" s="35"/>
    </row>
    <row r="62" spans="1:10" ht="10.5">
      <c r="A62" s="65">
        <v>256008</v>
      </c>
      <c r="B62" s="57">
        <v>38636</v>
      </c>
      <c r="C62" s="59">
        <v>512000</v>
      </c>
      <c r="D62" s="58">
        <f>VLOOKUP(C62,Comptes!$A$2:$B$60,2,FALSE)</f>
        <v>0</v>
      </c>
      <c r="E62" s="59">
        <v>606110</v>
      </c>
      <c r="F62" s="58">
        <f>VLOOKUP(E62,Comptes!$A$2:$B$60,2,FALSE)</f>
        <v>0</v>
      </c>
      <c r="G62" s="36" t="s">
        <v>171</v>
      </c>
      <c r="H62" s="59" t="s">
        <v>396</v>
      </c>
      <c r="I62" s="61">
        <v>13.3</v>
      </c>
      <c r="J62" s="35"/>
    </row>
    <row r="63" spans="1:10" ht="10.5">
      <c r="A63" s="65">
        <v>256009</v>
      </c>
      <c r="B63" s="57">
        <v>38631</v>
      </c>
      <c r="C63" s="60">
        <v>512000</v>
      </c>
      <c r="D63" s="58">
        <f>VLOOKUP(C63,Comptes!$A$2:$B$60,2,FALSE)</f>
        <v>0</v>
      </c>
      <c r="E63" s="59">
        <v>706100</v>
      </c>
      <c r="F63" s="58">
        <f>VLOOKUP(E63,Comptes!$A$2:$B$60,2,FALSE)</f>
        <v>0</v>
      </c>
      <c r="G63" s="36" t="s">
        <v>170</v>
      </c>
      <c r="H63" s="59" t="s">
        <v>396</v>
      </c>
      <c r="I63" s="61">
        <v>270</v>
      </c>
      <c r="J63" s="64"/>
    </row>
    <row r="64" spans="1:10" ht="10.5">
      <c r="A64" s="65">
        <v>256009</v>
      </c>
      <c r="B64" s="57">
        <v>38631</v>
      </c>
      <c r="C64" s="60">
        <v>512000</v>
      </c>
      <c r="D64" s="58">
        <f>VLOOKUP(C64,Comptes!$A$2:$B$60,2,FALSE)</f>
        <v>0</v>
      </c>
      <c r="E64" s="59">
        <v>706420</v>
      </c>
      <c r="F64" s="58">
        <f>VLOOKUP(E64,Comptes!$A$2:$B$60,2,FALSE)</f>
        <v>0</v>
      </c>
      <c r="G64" s="36" t="s">
        <v>170</v>
      </c>
      <c r="H64" s="59" t="s">
        <v>396</v>
      </c>
      <c r="I64" s="61">
        <v>340.8</v>
      </c>
      <c r="J64" s="64"/>
    </row>
    <row r="65" spans="1:10" ht="10.5">
      <c r="A65" s="65">
        <v>256009</v>
      </c>
      <c r="B65" s="57">
        <v>38631</v>
      </c>
      <c r="C65" s="60">
        <v>512000</v>
      </c>
      <c r="D65" s="58">
        <f>VLOOKUP(C65,Comptes!$A$2:$B$60,2,FALSE)</f>
        <v>0</v>
      </c>
      <c r="E65" s="59">
        <v>756000</v>
      </c>
      <c r="F65" s="58">
        <f>VLOOKUP(E65,Comptes!$A$2:$B$60,2,FALSE)</f>
        <v>0</v>
      </c>
      <c r="G65" s="36" t="s">
        <v>170</v>
      </c>
      <c r="H65" s="59" t="s">
        <v>396</v>
      </c>
      <c r="I65" s="61">
        <v>151</v>
      </c>
      <c r="J65" s="64"/>
    </row>
    <row r="66" spans="1:10" ht="10.5">
      <c r="A66" s="65">
        <v>256009</v>
      </c>
      <c r="B66" s="57">
        <v>38631</v>
      </c>
      <c r="C66" s="60">
        <v>512000</v>
      </c>
      <c r="D66" s="58">
        <f>VLOOKUP(C66,Comptes!$A$2:$B$60,2,FALSE)</f>
        <v>0</v>
      </c>
      <c r="E66" s="59">
        <v>708000</v>
      </c>
      <c r="F66" s="58">
        <f>VLOOKUP(E66,Comptes!$A$2:$B$60,2,FALSE)</f>
        <v>0</v>
      </c>
      <c r="G66" s="36" t="s">
        <v>170</v>
      </c>
      <c r="H66" s="59" t="s">
        <v>396</v>
      </c>
      <c r="I66" s="61">
        <v>16</v>
      </c>
      <c r="J66" s="64"/>
    </row>
    <row r="67" spans="1:10" ht="10.5">
      <c r="A67" s="65">
        <v>256009</v>
      </c>
      <c r="B67" s="57">
        <v>38631</v>
      </c>
      <c r="C67" s="60">
        <v>512000</v>
      </c>
      <c r="D67" s="58">
        <f>VLOOKUP(C67,Comptes!$A$2:$B$60,2,FALSE)</f>
        <v>0</v>
      </c>
      <c r="E67" s="59">
        <v>706100</v>
      </c>
      <c r="F67" s="58">
        <f>VLOOKUP(E67,Comptes!$A$2:$B$60,2,FALSE)</f>
        <v>0</v>
      </c>
      <c r="G67" s="59" t="s">
        <v>164</v>
      </c>
      <c r="H67" s="59" t="s">
        <v>396</v>
      </c>
      <c r="I67" s="61">
        <v>100</v>
      </c>
      <c r="J67" s="64"/>
    </row>
    <row r="68" spans="1:10" ht="10.5">
      <c r="A68" s="65">
        <v>256009</v>
      </c>
      <c r="B68" s="57">
        <v>38631</v>
      </c>
      <c r="C68" s="60">
        <v>512000</v>
      </c>
      <c r="D68" s="58">
        <f>VLOOKUP(C68,Comptes!$A$2:$B$60,2,FALSE)</f>
        <v>0</v>
      </c>
      <c r="E68" s="59">
        <v>706420</v>
      </c>
      <c r="F68" s="58">
        <f>VLOOKUP(E68,Comptes!$A$2:$B$60,2,FALSE)</f>
        <v>0</v>
      </c>
      <c r="G68" s="59" t="s">
        <v>164</v>
      </c>
      <c r="H68" s="59" t="s">
        <v>396</v>
      </c>
      <c r="I68" s="61">
        <v>40</v>
      </c>
      <c r="J68" s="64"/>
    </row>
    <row r="69" spans="1:10" ht="10.5">
      <c r="A69" s="65">
        <v>245163</v>
      </c>
      <c r="B69" s="57">
        <v>38638</v>
      </c>
      <c r="C69" s="60">
        <v>606110</v>
      </c>
      <c r="D69" s="58">
        <f>VLOOKUP(C69,Comptes!$A$2:$B$60,2,FALSE)</f>
        <v>0</v>
      </c>
      <c r="E69" s="59">
        <v>512000</v>
      </c>
      <c r="F69" s="58">
        <f>VLOOKUP(E69,Comptes!$A$2:$B$60,2,FALSE)</f>
        <v>0</v>
      </c>
      <c r="G69" s="59" t="s">
        <v>178</v>
      </c>
      <c r="H69" s="59" t="s">
        <v>396</v>
      </c>
      <c r="I69" s="61">
        <v>149</v>
      </c>
      <c r="J69" s="64"/>
    </row>
    <row r="70" spans="1:10" ht="10.5">
      <c r="A70" s="65">
        <v>256010</v>
      </c>
      <c r="B70" s="57">
        <v>38639</v>
      </c>
      <c r="C70" s="60">
        <v>606700</v>
      </c>
      <c r="D70" s="58">
        <f>VLOOKUP(C70,Comptes!$A$2:$B$60,2,FALSE)</f>
        <v>0</v>
      </c>
      <c r="E70" s="59">
        <v>512000</v>
      </c>
      <c r="F70" s="58">
        <f>VLOOKUP(E70,Comptes!$A$2:$B$60,2,FALSE)</f>
        <v>0</v>
      </c>
      <c r="G70" s="59" t="s">
        <v>408</v>
      </c>
      <c r="H70" s="59" t="s">
        <v>390</v>
      </c>
      <c r="I70" s="61">
        <v>156.66</v>
      </c>
      <c r="J70" s="64"/>
    </row>
    <row r="71" spans="1:10" ht="10.5">
      <c r="A71" s="65">
        <v>256010</v>
      </c>
      <c r="B71" s="57">
        <v>38639</v>
      </c>
      <c r="C71" s="60">
        <v>606700</v>
      </c>
      <c r="D71" s="58">
        <f>VLOOKUP(C71,Comptes!$A$2:$B$60,2,FALSE)</f>
        <v>0</v>
      </c>
      <c r="E71" s="59">
        <v>530000</v>
      </c>
      <c r="F71" s="58">
        <f>VLOOKUP(E71,Comptes!$A$2:$B$60,2,FALSE)</f>
        <v>0</v>
      </c>
      <c r="G71" s="59"/>
      <c r="H71" s="63"/>
      <c r="I71" s="61">
        <v>15.55</v>
      </c>
      <c r="J71" s="64"/>
    </row>
    <row r="72" spans="1:10" ht="10.5">
      <c r="A72" s="65">
        <v>256010</v>
      </c>
      <c r="B72" s="57">
        <v>38639</v>
      </c>
      <c r="C72" s="60">
        <v>625000</v>
      </c>
      <c r="D72" s="58">
        <f>VLOOKUP(C72,Comptes!$A$2:$B$60,2,FALSE)</f>
        <v>0</v>
      </c>
      <c r="E72" s="59">
        <v>530000</v>
      </c>
      <c r="F72" s="58">
        <f>VLOOKUP(E72,Comptes!$A$2:$B$60,2,FALSE)</f>
        <v>0</v>
      </c>
      <c r="G72" s="59"/>
      <c r="H72" s="63"/>
      <c r="I72" s="61">
        <v>25.7</v>
      </c>
      <c r="J72" s="35"/>
    </row>
    <row r="73" spans="1:10" ht="10.5">
      <c r="A73" s="65">
        <v>256011</v>
      </c>
      <c r="B73" s="57">
        <v>38640</v>
      </c>
      <c r="C73" s="60">
        <v>622600</v>
      </c>
      <c r="D73" s="58">
        <f>VLOOKUP(C73,Comptes!$A$2:$B$60,2,FALSE)</f>
        <v>0</v>
      </c>
      <c r="E73" s="59">
        <v>512000</v>
      </c>
      <c r="F73" s="58">
        <f>VLOOKUP(E73,Comptes!$A$2:$B$60,2,FALSE)</f>
        <v>0</v>
      </c>
      <c r="G73" s="36" t="s">
        <v>409</v>
      </c>
      <c r="H73" s="59" t="s">
        <v>390</v>
      </c>
      <c r="I73" s="61">
        <v>380</v>
      </c>
      <c r="J73" s="35"/>
    </row>
    <row r="74" spans="1:10" ht="10.5">
      <c r="A74" s="65">
        <v>256012</v>
      </c>
      <c r="B74" s="57">
        <v>38639</v>
      </c>
      <c r="C74" s="60">
        <v>626500</v>
      </c>
      <c r="D74" s="58">
        <f>VLOOKUP(C74,Comptes!$A$2:$B$60,2,FALSE)</f>
        <v>0</v>
      </c>
      <c r="E74" s="59">
        <v>512000</v>
      </c>
      <c r="F74" s="58">
        <f>VLOOKUP(E74,Comptes!$A$2:$B$60,2,FALSE)</f>
        <v>0</v>
      </c>
      <c r="G74" s="36" t="s">
        <v>178</v>
      </c>
      <c r="H74" s="59" t="s">
        <v>396</v>
      </c>
      <c r="I74" s="61">
        <v>19.9</v>
      </c>
      <c r="J74" s="35"/>
    </row>
    <row r="75" spans="1:10" ht="10.5">
      <c r="A75" s="65">
        <v>256013</v>
      </c>
      <c r="B75" s="57">
        <v>38645</v>
      </c>
      <c r="C75" s="60">
        <v>606700</v>
      </c>
      <c r="D75" s="58">
        <f>VLOOKUP(C75,Comptes!$A$2:$B$60,2,FALSE)</f>
        <v>0</v>
      </c>
      <c r="E75" s="59">
        <v>512000</v>
      </c>
      <c r="F75" s="58">
        <f>VLOOKUP(E75,Comptes!$A$2:$B$60,2,FALSE)</f>
        <v>0</v>
      </c>
      <c r="G75" s="36" t="s">
        <v>410</v>
      </c>
      <c r="H75" s="59" t="s">
        <v>390</v>
      </c>
      <c r="I75" s="61">
        <v>12.77</v>
      </c>
      <c r="J75" s="64"/>
    </row>
    <row r="76" spans="1:10" ht="10.5">
      <c r="A76" s="65">
        <v>256013</v>
      </c>
      <c r="B76" s="57">
        <v>38645</v>
      </c>
      <c r="C76" s="60">
        <v>615000</v>
      </c>
      <c r="D76" s="58">
        <f>VLOOKUP(C76,Comptes!$A$2:$B$60,2,FALSE)</f>
        <v>0</v>
      </c>
      <c r="E76" s="59">
        <v>512000</v>
      </c>
      <c r="F76" s="58">
        <f>VLOOKUP(E76,Comptes!$A$2:$B$60,2,FALSE)</f>
        <v>0</v>
      </c>
      <c r="G76" s="36" t="s">
        <v>411</v>
      </c>
      <c r="H76" s="59" t="s">
        <v>390</v>
      </c>
      <c r="I76" s="61">
        <v>33.81</v>
      </c>
      <c r="J76" s="35"/>
    </row>
    <row r="77" spans="1:10" ht="10.5">
      <c r="A77" s="65">
        <v>256013</v>
      </c>
      <c r="B77" s="57">
        <v>38645</v>
      </c>
      <c r="C77" s="60">
        <v>606700</v>
      </c>
      <c r="D77" s="58">
        <f>VLOOKUP(C77,Comptes!$A$2:$B$60,2,FALSE)</f>
        <v>0</v>
      </c>
      <c r="E77" s="59">
        <v>512000</v>
      </c>
      <c r="F77" s="58">
        <f>VLOOKUP(E77,Comptes!$A$2:$B$60,2,FALSE)</f>
        <v>0</v>
      </c>
      <c r="G77" s="36" t="s">
        <v>412</v>
      </c>
      <c r="H77" s="59" t="s">
        <v>390</v>
      </c>
      <c r="I77" s="61">
        <v>114.03</v>
      </c>
      <c r="J77" s="64"/>
    </row>
    <row r="78" spans="1:10" ht="10.5">
      <c r="A78" s="65">
        <v>256013</v>
      </c>
      <c r="B78" s="57">
        <v>38645</v>
      </c>
      <c r="C78" s="60">
        <v>606700</v>
      </c>
      <c r="D78" s="58">
        <f>VLOOKUP(C78,Comptes!$A$2:$B$60,2,FALSE)</f>
        <v>0</v>
      </c>
      <c r="E78" s="59">
        <v>530000</v>
      </c>
      <c r="F78" s="58">
        <f>VLOOKUP(E78,Comptes!$A$2:$B$60,2,FALSE)</f>
        <v>0</v>
      </c>
      <c r="G78" s="59"/>
      <c r="H78" s="63"/>
      <c r="I78" s="61">
        <v>21.32</v>
      </c>
      <c r="J78" s="64"/>
    </row>
    <row r="79" spans="1:10" ht="10.5">
      <c r="A79" s="65">
        <v>256013</v>
      </c>
      <c r="B79" s="57">
        <v>38645</v>
      </c>
      <c r="C79" s="60">
        <v>606700</v>
      </c>
      <c r="D79" s="58">
        <f>VLOOKUP(C79,Comptes!$A$2:$B$60,2,FALSE)</f>
        <v>0</v>
      </c>
      <c r="E79" s="59">
        <v>530000</v>
      </c>
      <c r="F79" s="58">
        <f>VLOOKUP(E79,Comptes!$A$2:$B$60,2,FALSE)</f>
        <v>0</v>
      </c>
      <c r="G79" s="59"/>
      <c r="H79" s="63"/>
      <c r="I79" s="61">
        <v>15.05</v>
      </c>
      <c r="J79" s="35"/>
    </row>
    <row r="80" spans="1:10" ht="10.5">
      <c r="A80" s="65">
        <v>256013</v>
      </c>
      <c r="B80" s="57">
        <v>38645</v>
      </c>
      <c r="C80" s="60">
        <v>606300</v>
      </c>
      <c r="D80" s="58">
        <f>VLOOKUP(C80,Comptes!$A$2:$B$60,2,FALSE)</f>
        <v>0</v>
      </c>
      <c r="E80" s="59">
        <v>512000</v>
      </c>
      <c r="F80" s="58">
        <f>VLOOKUP(E80,Comptes!$A$2:$B$60,2,FALSE)</f>
        <v>0</v>
      </c>
      <c r="G80" s="36" t="s">
        <v>413</v>
      </c>
      <c r="H80" s="59" t="s">
        <v>390</v>
      </c>
      <c r="I80" s="61">
        <v>664</v>
      </c>
      <c r="J80" s="35"/>
    </row>
    <row r="81" spans="1:10" ht="10.5">
      <c r="A81" s="65">
        <v>256014</v>
      </c>
      <c r="B81" s="57">
        <v>38645</v>
      </c>
      <c r="C81" s="60">
        <v>606400</v>
      </c>
      <c r="D81" s="58">
        <f>VLOOKUP(C81,Comptes!$A$2:$B$60,2,FALSE)</f>
        <v>0</v>
      </c>
      <c r="E81" s="59">
        <v>512000</v>
      </c>
      <c r="F81" s="58">
        <f>VLOOKUP(E81,Comptes!$A$2:$B$60,2,FALSE)</f>
        <v>0</v>
      </c>
      <c r="G81" s="36" t="s">
        <v>414</v>
      </c>
      <c r="H81" s="59" t="s">
        <v>390</v>
      </c>
      <c r="I81" s="61">
        <v>187.53</v>
      </c>
      <c r="J81" s="35"/>
    </row>
    <row r="82" spans="1:10" ht="10.5">
      <c r="A82" s="65">
        <v>256015</v>
      </c>
      <c r="B82" s="57">
        <v>38626</v>
      </c>
      <c r="C82" s="60">
        <v>512000</v>
      </c>
      <c r="D82" s="58">
        <f>VLOOKUP(C82,Comptes!$A$2:$B$60,2,FALSE)</f>
        <v>0</v>
      </c>
      <c r="E82" s="59">
        <v>754000</v>
      </c>
      <c r="F82" s="58">
        <f>VLOOKUP(E82,Comptes!$A$2:$B$60,2,FALSE)</f>
        <v>0</v>
      </c>
      <c r="G82" s="59" t="s">
        <v>171</v>
      </c>
      <c r="H82" s="59" t="s">
        <v>396</v>
      </c>
      <c r="I82" s="61">
        <v>76.22</v>
      </c>
      <c r="J82" s="35"/>
    </row>
    <row r="83" spans="1:10" ht="10.5">
      <c r="A83" s="65" t="s">
        <v>415</v>
      </c>
      <c r="B83" s="57">
        <v>38629</v>
      </c>
      <c r="C83" s="60">
        <v>512000</v>
      </c>
      <c r="D83" s="58">
        <f>VLOOKUP(C83,Comptes!$A$2:$B$60,2,FALSE)</f>
        <v>0</v>
      </c>
      <c r="E83" s="59">
        <v>754000</v>
      </c>
      <c r="F83" s="58">
        <f>VLOOKUP(E83,Comptes!$A$2:$B$60,2,FALSE)</f>
        <v>0</v>
      </c>
      <c r="G83" s="59" t="s">
        <v>171</v>
      </c>
      <c r="H83" s="59" t="s">
        <v>396</v>
      </c>
      <c r="I83" s="61">
        <v>15.24</v>
      </c>
      <c r="J83" s="64"/>
    </row>
    <row r="84" spans="1:10" ht="10.5">
      <c r="A84" s="65">
        <v>256015</v>
      </c>
      <c r="B84" s="57">
        <v>38629</v>
      </c>
      <c r="C84" s="60">
        <v>512000</v>
      </c>
      <c r="D84" s="58">
        <f>VLOOKUP(C84,Comptes!$A$2:$B$60,2,FALSE)</f>
        <v>0</v>
      </c>
      <c r="E84" s="59">
        <v>754000</v>
      </c>
      <c r="F84" s="58">
        <f>VLOOKUP(E84,Comptes!$A$2:$B$60,2,FALSE)</f>
        <v>0</v>
      </c>
      <c r="G84" s="59" t="s">
        <v>171</v>
      </c>
      <c r="H84" s="59" t="s">
        <v>396</v>
      </c>
      <c r="I84" s="61">
        <v>150</v>
      </c>
      <c r="J84" s="64"/>
    </row>
    <row r="85" spans="1:10" ht="10.5">
      <c r="A85" s="65">
        <v>256015</v>
      </c>
      <c r="B85" s="57">
        <v>38630</v>
      </c>
      <c r="C85" s="60">
        <v>512000</v>
      </c>
      <c r="D85" s="58">
        <f>VLOOKUP(C85,Comptes!$A$2:$B$60,2,FALSE)</f>
        <v>0</v>
      </c>
      <c r="E85" s="59">
        <v>754000</v>
      </c>
      <c r="F85" s="58">
        <f>VLOOKUP(E85,Comptes!$A$2:$B$60,2,FALSE)</f>
        <v>0</v>
      </c>
      <c r="G85" s="59" t="s">
        <v>171</v>
      </c>
      <c r="H85" s="59" t="s">
        <v>396</v>
      </c>
      <c r="I85" s="61">
        <v>15</v>
      </c>
      <c r="J85" s="64"/>
    </row>
    <row r="86" spans="1:10" ht="10.5">
      <c r="A86" s="65">
        <v>256015</v>
      </c>
      <c r="B86" s="57">
        <v>38635</v>
      </c>
      <c r="C86" s="60">
        <v>512000</v>
      </c>
      <c r="D86" s="58">
        <f>VLOOKUP(C86,Comptes!$A$2:$B$60,2,FALSE)</f>
        <v>0</v>
      </c>
      <c r="E86" s="59">
        <v>754000</v>
      </c>
      <c r="F86" s="58">
        <f>VLOOKUP(E86,Comptes!$A$2:$B$60,2,FALSE)</f>
        <v>0</v>
      </c>
      <c r="G86" s="59" t="s">
        <v>171</v>
      </c>
      <c r="H86" s="59" t="s">
        <v>396</v>
      </c>
      <c r="I86" s="61">
        <v>15</v>
      </c>
      <c r="J86" s="64"/>
    </row>
    <row r="87" spans="1:10" ht="10.5">
      <c r="A87" s="65">
        <v>256016</v>
      </c>
      <c r="B87" s="57">
        <v>38635</v>
      </c>
      <c r="C87" s="60">
        <v>613200</v>
      </c>
      <c r="D87" s="58">
        <f>VLOOKUP(C87,Comptes!$A$2:$B$60,2,FALSE)</f>
        <v>0</v>
      </c>
      <c r="E87" s="62">
        <v>512000</v>
      </c>
      <c r="F87" s="58">
        <f>VLOOKUP(E87,Comptes!$A$2:$B$60,2,FALSE)</f>
        <v>0</v>
      </c>
      <c r="G87" s="59" t="s">
        <v>178</v>
      </c>
      <c r="H87" s="59" t="s">
        <v>396</v>
      </c>
      <c r="I87" s="61">
        <v>963.5</v>
      </c>
      <c r="J87" s="64"/>
    </row>
    <row r="88" spans="1:10" ht="10.5">
      <c r="A88" s="65">
        <v>256017</v>
      </c>
      <c r="B88" s="57">
        <v>38648</v>
      </c>
      <c r="C88" s="60">
        <v>512000</v>
      </c>
      <c r="D88" s="58">
        <f>VLOOKUP(C88,Comptes!$A$2:$B$60,2,FALSE)</f>
        <v>0</v>
      </c>
      <c r="E88" s="62">
        <v>706210</v>
      </c>
      <c r="F88" s="58">
        <f>VLOOKUP(E88,Comptes!$A$2:$B$60,2,FALSE)</f>
        <v>0</v>
      </c>
      <c r="G88" s="59" t="s">
        <v>170</v>
      </c>
      <c r="H88" s="59" t="s">
        <v>390</v>
      </c>
      <c r="I88" s="61">
        <v>199</v>
      </c>
      <c r="J88" s="64"/>
    </row>
    <row r="89" spans="1:10" ht="10.5">
      <c r="A89" s="65">
        <v>256017</v>
      </c>
      <c r="B89" s="57">
        <v>38648</v>
      </c>
      <c r="C89" s="60">
        <v>512000</v>
      </c>
      <c r="D89" s="58">
        <f>VLOOKUP(C89,Comptes!$A$2:$B$60,2,FALSE)</f>
        <v>0</v>
      </c>
      <c r="E89" s="62">
        <v>706220</v>
      </c>
      <c r="F89" s="58">
        <f>VLOOKUP(E89,Comptes!$A$2:$B$60,2,FALSE)</f>
        <v>0</v>
      </c>
      <c r="G89" s="59" t="s">
        <v>170</v>
      </c>
      <c r="H89" s="59" t="s">
        <v>390</v>
      </c>
      <c r="I89" s="61">
        <v>144</v>
      </c>
      <c r="J89" s="64"/>
    </row>
    <row r="90" spans="1:10" ht="10.5">
      <c r="A90" s="65">
        <v>256017</v>
      </c>
      <c r="B90" s="57">
        <v>38648</v>
      </c>
      <c r="C90" s="60">
        <v>512000</v>
      </c>
      <c r="D90" s="58">
        <f>VLOOKUP(C90,Comptes!$A$2:$B$60,2,FALSE)</f>
        <v>0</v>
      </c>
      <c r="E90" s="62">
        <v>706230</v>
      </c>
      <c r="F90" s="58">
        <f>VLOOKUP(E90,Comptes!$A$2:$B$60,2,FALSE)</f>
        <v>0</v>
      </c>
      <c r="G90" s="59" t="s">
        <v>170</v>
      </c>
      <c r="H90" s="59" t="s">
        <v>390</v>
      </c>
      <c r="I90" s="61">
        <v>568</v>
      </c>
      <c r="J90" s="64"/>
    </row>
    <row r="91" spans="1:10" ht="10.5">
      <c r="A91" s="65">
        <v>256017</v>
      </c>
      <c r="B91" s="57">
        <v>38648</v>
      </c>
      <c r="C91" s="60">
        <v>512000</v>
      </c>
      <c r="D91" s="58">
        <f>VLOOKUP(C91,Comptes!$A$2:$B$60,2,FALSE)</f>
        <v>0</v>
      </c>
      <c r="E91" s="62">
        <v>756000</v>
      </c>
      <c r="F91" s="58">
        <f>VLOOKUP(E91,Comptes!$A$2:$B$60,2,FALSE)</f>
        <v>0</v>
      </c>
      <c r="G91" s="59" t="s">
        <v>170</v>
      </c>
      <c r="H91" s="59" t="s">
        <v>390</v>
      </c>
      <c r="I91" s="61">
        <v>160</v>
      </c>
      <c r="J91" s="64"/>
    </row>
    <row r="92" spans="1:10" ht="10.5">
      <c r="A92" s="65">
        <v>256017</v>
      </c>
      <c r="B92" s="57">
        <v>38648</v>
      </c>
      <c r="C92" s="60">
        <v>512000</v>
      </c>
      <c r="D92" s="58">
        <f>VLOOKUP(C92,Comptes!$A$2:$B$60,2,FALSE)</f>
        <v>0</v>
      </c>
      <c r="E92" s="62">
        <v>708000</v>
      </c>
      <c r="F92" s="58">
        <f>VLOOKUP(E92,Comptes!$A$2:$B$60,2,FALSE)</f>
        <v>0</v>
      </c>
      <c r="G92" s="59" t="s">
        <v>170</v>
      </c>
      <c r="H92" s="59" t="s">
        <v>390</v>
      </c>
      <c r="I92" s="61">
        <v>32</v>
      </c>
      <c r="J92" s="172"/>
    </row>
    <row r="93" spans="1:10" ht="10.5">
      <c r="A93" s="65">
        <v>256017</v>
      </c>
      <c r="B93" s="57">
        <v>38648</v>
      </c>
      <c r="C93" s="60">
        <v>512000</v>
      </c>
      <c r="D93" s="58">
        <f>VLOOKUP(C93,Comptes!$A$2:$B$60,2,FALSE)</f>
        <v>0</v>
      </c>
      <c r="E93" s="62">
        <v>756000</v>
      </c>
      <c r="F93" s="58">
        <f>VLOOKUP(E93,Comptes!$A$2:$B$60,2,FALSE)</f>
        <v>0</v>
      </c>
      <c r="G93" s="59" t="s">
        <v>170</v>
      </c>
      <c r="H93" s="59" t="s">
        <v>390</v>
      </c>
      <c r="I93" s="61">
        <v>325</v>
      </c>
      <c r="J93" s="64"/>
    </row>
    <row r="94" spans="1:10" ht="10.5">
      <c r="A94" s="65">
        <v>256017</v>
      </c>
      <c r="B94" s="57">
        <v>38648</v>
      </c>
      <c r="C94" s="60">
        <v>512000</v>
      </c>
      <c r="D94" s="58">
        <f>VLOOKUP(C94,Comptes!$A$2:$B$60,2,FALSE)</f>
        <v>0</v>
      </c>
      <c r="E94" s="62">
        <v>708000</v>
      </c>
      <c r="F94" s="58">
        <f>VLOOKUP(E94,Comptes!$A$2:$B$60,2,FALSE)</f>
        <v>0</v>
      </c>
      <c r="G94" s="59" t="s">
        <v>170</v>
      </c>
      <c r="H94" s="59" t="s">
        <v>390</v>
      </c>
      <c r="I94" s="61">
        <v>72</v>
      </c>
      <c r="J94" s="64"/>
    </row>
    <row r="95" spans="1:10" ht="10.5">
      <c r="A95" s="65">
        <v>256017</v>
      </c>
      <c r="B95" s="57">
        <v>38648</v>
      </c>
      <c r="C95" s="60">
        <v>512000</v>
      </c>
      <c r="D95" s="58">
        <f>VLOOKUP(C95,Comptes!$A$2:$B$60,2,FALSE)</f>
        <v>0</v>
      </c>
      <c r="E95" s="62">
        <v>754000</v>
      </c>
      <c r="F95" s="58">
        <f>VLOOKUP(E95,Comptes!$A$2:$B$60,2,FALSE)</f>
        <v>0</v>
      </c>
      <c r="G95" s="59" t="s">
        <v>170</v>
      </c>
      <c r="H95" s="59" t="s">
        <v>390</v>
      </c>
      <c r="I95" s="61">
        <v>247</v>
      </c>
      <c r="J95" s="64"/>
    </row>
    <row r="96" spans="1:10" ht="10.5">
      <c r="A96" s="65">
        <v>256017</v>
      </c>
      <c r="B96" s="57">
        <v>38648</v>
      </c>
      <c r="C96" s="60">
        <v>512000</v>
      </c>
      <c r="D96" s="58">
        <f>VLOOKUP(C96,Comptes!$A$2:$B$60,2,FALSE)</f>
        <v>0</v>
      </c>
      <c r="E96" s="62">
        <v>706210</v>
      </c>
      <c r="F96" s="58">
        <f>VLOOKUP(E96,Comptes!$A$2:$B$60,2,FALSE)</f>
        <v>0</v>
      </c>
      <c r="G96" s="59" t="s">
        <v>170</v>
      </c>
      <c r="H96" s="59" t="s">
        <v>390</v>
      </c>
      <c r="I96" s="61">
        <v>30</v>
      </c>
      <c r="J96" s="64"/>
    </row>
    <row r="97" spans="1:10" ht="10.5">
      <c r="A97" s="65">
        <v>256017</v>
      </c>
      <c r="B97" s="57">
        <v>38648</v>
      </c>
      <c r="C97" s="60">
        <v>512000</v>
      </c>
      <c r="D97" s="58">
        <f>VLOOKUP(C97,Comptes!$A$2:$B$60,2,FALSE)</f>
        <v>0</v>
      </c>
      <c r="E97" s="62">
        <v>706220</v>
      </c>
      <c r="F97" s="58">
        <f>VLOOKUP(E97,Comptes!$A$2:$B$60,2,FALSE)</f>
        <v>0</v>
      </c>
      <c r="G97" s="59" t="s">
        <v>170</v>
      </c>
      <c r="H97" s="59" t="s">
        <v>390</v>
      </c>
      <c r="I97" s="61">
        <v>44</v>
      </c>
      <c r="J97" s="64"/>
    </row>
    <row r="98" spans="1:10" ht="10.5">
      <c r="A98" s="47">
        <v>256017</v>
      </c>
      <c r="B98" s="48">
        <v>38648</v>
      </c>
      <c r="C98" s="49">
        <v>511200</v>
      </c>
      <c r="D98" s="58">
        <f>VLOOKUP(C98,Comptes!$A$2:$B$60,2,FALSE)</f>
        <v>0</v>
      </c>
      <c r="E98" s="49">
        <v>512000</v>
      </c>
      <c r="F98" s="58">
        <f>VLOOKUP(E98,Comptes!$A$2:$B$60,2,FALSE)</f>
        <v>0</v>
      </c>
      <c r="G98" s="49" t="s">
        <v>170</v>
      </c>
      <c r="H98" s="59" t="s">
        <v>390</v>
      </c>
      <c r="I98" s="61">
        <v>50</v>
      </c>
      <c r="J98" s="64"/>
    </row>
    <row r="99" spans="1:10" ht="10.5">
      <c r="A99" s="47">
        <v>256017</v>
      </c>
      <c r="B99" s="48">
        <v>38648</v>
      </c>
      <c r="C99" s="49">
        <v>511200</v>
      </c>
      <c r="D99" s="58">
        <f>VLOOKUP(C99,Comptes!$A$2:$B$60,2,FALSE)</f>
        <v>0</v>
      </c>
      <c r="E99" s="49">
        <v>512000</v>
      </c>
      <c r="F99" s="58">
        <f>VLOOKUP(E99,Comptes!$A$2:$B$60,2,FALSE)</f>
        <v>0</v>
      </c>
      <c r="G99" s="49" t="s">
        <v>170</v>
      </c>
      <c r="H99" s="59" t="s">
        <v>390</v>
      </c>
      <c r="I99" s="61">
        <v>50</v>
      </c>
      <c r="J99" s="64"/>
    </row>
    <row r="100" spans="1:10" ht="10.5">
      <c r="A100" s="47">
        <v>256017</v>
      </c>
      <c r="B100" s="48">
        <v>38648</v>
      </c>
      <c r="C100" s="49">
        <v>511200</v>
      </c>
      <c r="D100" s="58">
        <f>VLOOKUP(C100,Comptes!$A$2:$B$60,2,FALSE)</f>
        <v>0</v>
      </c>
      <c r="E100" s="49">
        <v>512000</v>
      </c>
      <c r="F100" s="58">
        <f>VLOOKUP(E100,Comptes!$A$2:$B$60,2,FALSE)</f>
        <v>0</v>
      </c>
      <c r="G100" s="49" t="s">
        <v>170</v>
      </c>
      <c r="H100" s="59" t="s">
        <v>390</v>
      </c>
      <c r="I100" s="61">
        <v>90</v>
      </c>
      <c r="J100" s="64"/>
    </row>
    <row r="101" spans="1:10" ht="10.5">
      <c r="A101" s="47">
        <v>256017</v>
      </c>
      <c r="B101" s="48">
        <v>38648</v>
      </c>
      <c r="C101" s="49">
        <v>511200</v>
      </c>
      <c r="D101" s="58">
        <f>VLOOKUP(C101,Comptes!$A$2:$B$60,2,FALSE)</f>
        <v>0</v>
      </c>
      <c r="E101" s="49">
        <v>512000</v>
      </c>
      <c r="F101" s="58">
        <f>VLOOKUP(E101,Comptes!$A$2:$B$60,2,FALSE)</f>
        <v>0</v>
      </c>
      <c r="G101" s="49" t="s">
        <v>170</v>
      </c>
      <c r="H101" s="59" t="s">
        <v>390</v>
      </c>
      <c r="I101" s="61">
        <v>60</v>
      </c>
      <c r="J101" s="64"/>
    </row>
    <row r="102" spans="1:10" ht="10.5">
      <c r="A102" s="65">
        <v>256017</v>
      </c>
      <c r="B102" s="57">
        <v>38648</v>
      </c>
      <c r="C102" s="60">
        <v>530000</v>
      </c>
      <c r="D102" s="58">
        <f>VLOOKUP(C102,Comptes!$A$2:$B$60,2,FALSE)</f>
        <v>0</v>
      </c>
      <c r="E102" s="62">
        <v>706210</v>
      </c>
      <c r="F102" s="58">
        <f>VLOOKUP(E102,Comptes!$A$2:$B$60,2,FALSE)</f>
        <v>0</v>
      </c>
      <c r="G102" s="59"/>
      <c r="H102" s="63"/>
      <c r="I102" s="61">
        <v>126</v>
      </c>
      <c r="J102" s="64"/>
    </row>
    <row r="103" spans="1:10" ht="10.5">
      <c r="A103" s="65">
        <v>256017</v>
      </c>
      <c r="B103" s="57">
        <v>38648</v>
      </c>
      <c r="C103" s="60">
        <v>530000</v>
      </c>
      <c r="D103" s="58">
        <f>VLOOKUP(C103,Comptes!$A$2:$B$60,2,FALSE)</f>
        <v>0</v>
      </c>
      <c r="E103" s="62">
        <v>706220</v>
      </c>
      <c r="F103" s="58">
        <f>VLOOKUP(E103,Comptes!$A$2:$B$60,2,FALSE)</f>
        <v>0</v>
      </c>
      <c r="G103" s="59"/>
      <c r="H103" s="63"/>
      <c r="I103" s="61">
        <v>96</v>
      </c>
      <c r="J103" s="64"/>
    </row>
    <row r="104" spans="1:10" ht="10.5">
      <c r="A104" s="65">
        <v>256017</v>
      </c>
      <c r="B104" s="57">
        <v>38648</v>
      </c>
      <c r="C104" s="60">
        <v>530000</v>
      </c>
      <c r="D104" s="58">
        <f>VLOOKUP(C104,Comptes!$A$2:$B$60,2,FALSE)</f>
        <v>0</v>
      </c>
      <c r="E104" s="62">
        <v>706230</v>
      </c>
      <c r="F104" s="58">
        <f>VLOOKUP(E104,Comptes!$A$2:$B$60,2,FALSE)</f>
        <v>0</v>
      </c>
      <c r="G104" s="59"/>
      <c r="H104" s="63"/>
      <c r="I104" s="61">
        <v>352</v>
      </c>
      <c r="J104" s="64"/>
    </row>
    <row r="105" spans="1:10" ht="10.5">
      <c r="A105" s="65">
        <v>256017</v>
      </c>
      <c r="B105" s="57">
        <v>38648</v>
      </c>
      <c r="C105" s="60">
        <v>530000</v>
      </c>
      <c r="D105" s="58">
        <f>VLOOKUP(C105,Comptes!$A$2:$B$60,2,FALSE)</f>
        <v>0</v>
      </c>
      <c r="E105" s="62">
        <v>756000</v>
      </c>
      <c r="F105" s="58">
        <f>VLOOKUP(E105,Comptes!$A$2:$B$60,2,FALSE)</f>
        <v>0</v>
      </c>
      <c r="G105" s="59"/>
      <c r="H105" s="63"/>
      <c r="I105" s="61">
        <v>160</v>
      </c>
      <c r="J105" s="64"/>
    </row>
    <row r="106" spans="1:10" ht="10.5">
      <c r="A106" s="65">
        <v>256017</v>
      </c>
      <c r="B106" s="57">
        <v>38648</v>
      </c>
      <c r="C106" s="60">
        <v>530000</v>
      </c>
      <c r="D106" s="58">
        <f>VLOOKUP(C106,Comptes!$A$2:$B$60,2,FALSE)</f>
        <v>0</v>
      </c>
      <c r="E106" s="62">
        <v>708000</v>
      </c>
      <c r="F106" s="58">
        <f>VLOOKUP(E106,Comptes!$A$2:$B$60,2,FALSE)</f>
        <v>0</v>
      </c>
      <c r="G106" s="59"/>
      <c r="H106" s="63"/>
      <c r="I106" s="61">
        <v>16</v>
      </c>
      <c r="J106" s="64"/>
    </row>
    <row r="107" spans="1:10" ht="10.5">
      <c r="A107" s="65">
        <v>256017</v>
      </c>
      <c r="B107" s="57">
        <v>38648</v>
      </c>
      <c r="C107" s="60">
        <v>530000</v>
      </c>
      <c r="D107" s="58">
        <f>VLOOKUP(C107,Comptes!$A$2:$B$60,2,FALSE)</f>
        <v>0</v>
      </c>
      <c r="E107" s="59">
        <v>756000</v>
      </c>
      <c r="F107" s="58">
        <f>VLOOKUP(E107,Comptes!$A$2:$B$60,2,FALSE)</f>
        <v>0</v>
      </c>
      <c r="G107" s="59"/>
      <c r="H107" s="63"/>
      <c r="I107" s="61">
        <v>5</v>
      </c>
      <c r="J107" s="64"/>
    </row>
    <row r="108" spans="1:10" ht="10.5">
      <c r="A108" s="65">
        <v>256017</v>
      </c>
      <c r="B108" s="57">
        <v>38648</v>
      </c>
      <c r="C108" s="60">
        <v>530000</v>
      </c>
      <c r="D108" s="58">
        <f>VLOOKUP(C108,Comptes!$A$2:$B$60,2,FALSE)</f>
        <v>0</v>
      </c>
      <c r="E108" s="59">
        <v>754000</v>
      </c>
      <c r="F108" s="58">
        <f>VLOOKUP(E108,Comptes!$A$2:$B$60,2,FALSE)</f>
        <v>0</v>
      </c>
      <c r="G108" s="59"/>
      <c r="H108" s="63"/>
      <c r="I108" s="61">
        <v>15</v>
      </c>
      <c r="J108" s="64"/>
    </row>
    <row r="109" spans="1:10" ht="10.5">
      <c r="A109" s="65">
        <v>256017</v>
      </c>
      <c r="B109" s="57">
        <v>38648</v>
      </c>
      <c r="C109" s="60">
        <v>530000</v>
      </c>
      <c r="D109" s="58">
        <f>VLOOKUP(C109,Comptes!$A$2:$B$60,2,FALSE)</f>
        <v>0</v>
      </c>
      <c r="E109" s="62">
        <v>706220</v>
      </c>
      <c r="F109" s="58">
        <f>VLOOKUP(E109,Comptes!$A$2:$B$60,2,FALSE)</f>
        <v>0</v>
      </c>
      <c r="G109" s="59"/>
      <c r="H109" s="63"/>
      <c r="I109" s="61">
        <v>80</v>
      </c>
      <c r="J109" s="64"/>
    </row>
    <row r="110" spans="1:10" ht="10.5">
      <c r="A110" s="65">
        <v>256018</v>
      </c>
      <c r="B110" s="57">
        <v>38649</v>
      </c>
      <c r="C110" s="60">
        <v>626500</v>
      </c>
      <c r="D110" s="58">
        <f>VLOOKUP(C110,Comptes!$A$2:$B$60,2,FALSE)</f>
        <v>0</v>
      </c>
      <c r="E110" s="59">
        <v>512000</v>
      </c>
      <c r="F110" s="58">
        <f>VLOOKUP(E110,Comptes!$A$2:$B$60,2,FALSE)</f>
        <v>0</v>
      </c>
      <c r="G110" s="36" t="s">
        <v>178</v>
      </c>
      <c r="H110" s="59" t="s">
        <v>390</v>
      </c>
      <c r="I110" s="61">
        <v>36.78</v>
      </c>
      <c r="J110" s="64"/>
    </row>
    <row r="111" spans="1:10" ht="10.5">
      <c r="A111" s="65">
        <v>256019</v>
      </c>
      <c r="B111" s="57">
        <v>38649</v>
      </c>
      <c r="C111" s="60">
        <v>626000</v>
      </c>
      <c r="D111" s="58">
        <f>VLOOKUP(C111,Comptes!$A$2:$B$60,2,FALSE)</f>
        <v>0</v>
      </c>
      <c r="E111" s="59">
        <v>512000</v>
      </c>
      <c r="F111" s="58">
        <f>VLOOKUP(E111,Comptes!$A$2:$B$60,2,FALSE)</f>
        <v>0</v>
      </c>
      <c r="G111" s="36" t="s">
        <v>416</v>
      </c>
      <c r="H111" s="59" t="s">
        <v>390</v>
      </c>
      <c r="I111" s="61">
        <v>370.97</v>
      </c>
      <c r="J111" s="64"/>
    </row>
    <row r="112" spans="1:10" ht="10.5">
      <c r="A112" s="65">
        <v>256020</v>
      </c>
      <c r="B112" s="57">
        <v>38653</v>
      </c>
      <c r="C112" s="60">
        <v>606700</v>
      </c>
      <c r="D112" s="58">
        <f>VLOOKUP(C112,Comptes!$A$2:$B$60,2,FALSE)</f>
        <v>0</v>
      </c>
      <c r="E112" s="59">
        <v>512000</v>
      </c>
      <c r="F112" s="58">
        <f>VLOOKUP(E112,Comptes!$A$2:$B$60,2,FALSE)</f>
        <v>0</v>
      </c>
      <c r="G112" s="36" t="s">
        <v>417</v>
      </c>
      <c r="H112" s="59" t="s">
        <v>391</v>
      </c>
      <c r="I112" s="61">
        <v>75.08</v>
      </c>
      <c r="J112" s="64"/>
    </row>
    <row r="113" spans="1:10" ht="10.5">
      <c r="A113" s="65">
        <v>256020</v>
      </c>
      <c r="B113" s="57">
        <v>38653</v>
      </c>
      <c r="C113" s="60">
        <v>606700</v>
      </c>
      <c r="D113" s="58">
        <f>VLOOKUP(C113,Comptes!$A$2:$B$60,2,FALSE)</f>
        <v>0</v>
      </c>
      <c r="E113" s="59">
        <v>512000</v>
      </c>
      <c r="F113" s="58">
        <f>VLOOKUP(E113,Comptes!$A$2:$B$60,2,FALSE)</f>
        <v>0</v>
      </c>
      <c r="G113" s="36" t="s">
        <v>418</v>
      </c>
      <c r="H113" s="59" t="s">
        <v>391</v>
      </c>
      <c r="I113" s="61">
        <v>17.56</v>
      </c>
      <c r="J113" s="64"/>
    </row>
    <row r="114" spans="1:10" ht="10.5">
      <c r="A114" s="65">
        <v>256020</v>
      </c>
      <c r="B114" s="57">
        <v>38653</v>
      </c>
      <c r="C114" s="60">
        <v>606700</v>
      </c>
      <c r="D114" s="58">
        <f>VLOOKUP(C114,Comptes!$A$2:$B$60,2,FALSE)</f>
        <v>0</v>
      </c>
      <c r="E114" s="59">
        <v>512000</v>
      </c>
      <c r="F114" s="58">
        <f>VLOOKUP(E114,Comptes!$A$2:$B$60,2,FALSE)</f>
        <v>0</v>
      </c>
      <c r="G114" s="36" t="s">
        <v>419</v>
      </c>
      <c r="H114" s="59" t="s">
        <v>390</v>
      </c>
      <c r="I114" s="68">
        <v>204.57</v>
      </c>
      <c r="J114" s="64"/>
    </row>
    <row r="115" spans="1:10" ht="10.5">
      <c r="A115" s="65">
        <v>256020</v>
      </c>
      <c r="B115" s="57">
        <v>38653</v>
      </c>
      <c r="C115" s="60">
        <v>606700</v>
      </c>
      <c r="D115" s="58">
        <f>VLOOKUP(C115,Comptes!$A$2:$B$60,2,FALSE)</f>
        <v>0</v>
      </c>
      <c r="E115" s="59">
        <v>530000</v>
      </c>
      <c r="F115" s="58">
        <f>VLOOKUP(E115,Comptes!$A$2:$B$60,2,FALSE)</f>
        <v>0</v>
      </c>
      <c r="G115" s="59"/>
      <c r="H115" s="59"/>
      <c r="I115" s="68">
        <v>19.91</v>
      </c>
      <c r="J115" s="64"/>
    </row>
    <row r="116" spans="1:10" ht="10.5">
      <c r="A116" s="65">
        <v>256020</v>
      </c>
      <c r="B116" s="57">
        <v>38653</v>
      </c>
      <c r="C116" s="60">
        <v>606700</v>
      </c>
      <c r="D116" s="58">
        <f>VLOOKUP(C116,Comptes!$A$2:$B$60,2,FALSE)</f>
        <v>0</v>
      </c>
      <c r="E116" s="59">
        <v>530000</v>
      </c>
      <c r="F116" s="58">
        <f>VLOOKUP(E116,Comptes!$A$2:$B$60,2,FALSE)</f>
        <v>0</v>
      </c>
      <c r="G116" s="59"/>
      <c r="H116" s="59"/>
      <c r="I116" s="68">
        <v>8.73</v>
      </c>
      <c r="J116" s="64"/>
    </row>
    <row r="117" spans="1:10" ht="10.5">
      <c r="A117" s="65">
        <v>256020</v>
      </c>
      <c r="B117" s="57">
        <v>38653</v>
      </c>
      <c r="C117" s="60">
        <v>641000</v>
      </c>
      <c r="D117" s="58">
        <f>VLOOKUP(C117,Comptes!$A$2:$B$60,2,FALSE)</f>
        <v>0</v>
      </c>
      <c r="E117" s="62">
        <v>512000</v>
      </c>
      <c r="F117" s="58">
        <f>VLOOKUP(E117,Comptes!$A$2:$B$60,2,FALSE)</f>
        <v>0</v>
      </c>
      <c r="G117" s="36" t="s">
        <v>420</v>
      </c>
      <c r="H117" s="59" t="s">
        <v>391</v>
      </c>
      <c r="I117" s="61">
        <v>1336.87</v>
      </c>
      <c r="J117" s="66"/>
    </row>
    <row r="118" spans="1:10" ht="10.5">
      <c r="A118" s="65">
        <v>256021</v>
      </c>
      <c r="B118" s="57">
        <v>38653</v>
      </c>
      <c r="C118" s="60">
        <v>615000</v>
      </c>
      <c r="D118" s="58">
        <f>VLOOKUP(C118,Comptes!$A$2:$B$60,2,FALSE)</f>
        <v>0</v>
      </c>
      <c r="E118" s="59">
        <v>512000</v>
      </c>
      <c r="F118" s="58">
        <f>VLOOKUP(E118,Comptes!$A$2:$B$60,2,FALSE)</f>
        <v>0</v>
      </c>
      <c r="G118" s="36" t="s">
        <v>421</v>
      </c>
      <c r="H118" s="59" t="s">
        <v>391</v>
      </c>
      <c r="I118" s="68">
        <v>118.33</v>
      </c>
      <c r="J118" s="64"/>
    </row>
    <row r="119" spans="1:10" ht="10.5">
      <c r="A119" s="65">
        <v>256022</v>
      </c>
      <c r="B119" s="57">
        <v>38653</v>
      </c>
      <c r="C119" s="60">
        <v>512000</v>
      </c>
      <c r="D119" s="58">
        <f>VLOOKUP(C119,Comptes!$A$2:$B$60,2,FALSE)</f>
        <v>0</v>
      </c>
      <c r="E119" s="59">
        <v>706100</v>
      </c>
      <c r="F119" s="58">
        <f>VLOOKUP(E119,Comptes!$A$2:$B$60,2,FALSE)</f>
        <v>0</v>
      </c>
      <c r="G119" s="59" t="s">
        <v>170</v>
      </c>
      <c r="H119" s="59" t="s">
        <v>390</v>
      </c>
      <c r="I119" s="68">
        <v>355</v>
      </c>
      <c r="J119" s="64"/>
    </row>
    <row r="120" spans="1:10" ht="10.5">
      <c r="A120" s="65">
        <v>256022</v>
      </c>
      <c r="B120" s="57">
        <v>38653</v>
      </c>
      <c r="C120" s="60">
        <v>512000</v>
      </c>
      <c r="D120" s="58">
        <f>VLOOKUP(C120,Comptes!$A$2:$B$60,2,FALSE)</f>
        <v>0</v>
      </c>
      <c r="E120" s="59">
        <v>756000</v>
      </c>
      <c r="F120" s="58">
        <f>VLOOKUP(E120,Comptes!$A$2:$B$60,2,FALSE)</f>
        <v>0</v>
      </c>
      <c r="G120" s="59" t="s">
        <v>170</v>
      </c>
      <c r="H120" s="59" t="s">
        <v>390</v>
      </c>
      <c r="I120" s="68">
        <v>146</v>
      </c>
      <c r="J120" s="64"/>
    </row>
    <row r="121" spans="1:10" ht="10.5">
      <c r="A121" s="65">
        <v>256022</v>
      </c>
      <c r="B121" s="57">
        <v>38653</v>
      </c>
      <c r="C121" s="60">
        <v>512000</v>
      </c>
      <c r="D121" s="58">
        <f>VLOOKUP(C121,Comptes!$A$2:$B$60,2,FALSE)</f>
        <v>0</v>
      </c>
      <c r="E121" s="59">
        <v>706100</v>
      </c>
      <c r="F121" s="58">
        <f>VLOOKUP(E121,Comptes!$A$2:$B$60,2,FALSE)</f>
        <v>0</v>
      </c>
      <c r="G121" s="59" t="s">
        <v>170</v>
      </c>
      <c r="H121" s="59" t="s">
        <v>390</v>
      </c>
      <c r="I121" s="68">
        <v>8</v>
      </c>
      <c r="J121" s="64"/>
    </row>
    <row r="122" spans="1:10" ht="10.5">
      <c r="A122" s="47">
        <v>256022</v>
      </c>
      <c r="B122" s="48">
        <v>38653</v>
      </c>
      <c r="C122" s="51">
        <v>512000</v>
      </c>
      <c r="D122" s="58">
        <f>VLOOKUP(C122,Comptes!$A$2:$B$60,2,FALSE)</f>
        <v>0</v>
      </c>
      <c r="E122" s="49">
        <v>511200</v>
      </c>
      <c r="F122" s="58">
        <f>VLOOKUP(E122,Comptes!$A$2:$B$60,2,FALSE)</f>
        <v>0</v>
      </c>
      <c r="G122" s="49" t="s">
        <v>170</v>
      </c>
      <c r="H122" s="59" t="s">
        <v>390</v>
      </c>
      <c r="I122" s="61">
        <v>90</v>
      </c>
      <c r="J122" s="64"/>
    </row>
    <row r="123" spans="1:10" ht="10.5">
      <c r="A123" s="65">
        <v>256022</v>
      </c>
      <c r="B123" s="57">
        <v>38653</v>
      </c>
      <c r="C123" s="60">
        <v>512000</v>
      </c>
      <c r="D123" s="58">
        <f>VLOOKUP(C123,Comptes!$A$2:$B$60,2,FALSE)</f>
        <v>0</v>
      </c>
      <c r="E123" s="59">
        <v>754000</v>
      </c>
      <c r="F123" s="58">
        <f>VLOOKUP(E123,Comptes!$A$2:$B$60,2,FALSE)</f>
        <v>0</v>
      </c>
      <c r="G123" s="59" t="s">
        <v>170</v>
      </c>
      <c r="H123" s="59" t="s">
        <v>390</v>
      </c>
      <c r="I123" s="61">
        <v>1000</v>
      </c>
      <c r="J123" s="35"/>
    </row>
    <row r="124" spans="1:10" ht="10.5">
      <c r="A124" s="65">
        <v>256022</v>
      </c>
      <c r="B124" s="57">
        <v>38653</v>
      </c>
      <c r="C124" s="60">
        <v>530000</v>
      </c>
      <c r="D124" s="58">
        <f>VLOOKUP(C124,Comptes!$A$2:$B$60,2,FALSE)</f>
        <v>0</v>
      </c>
      <c r="E124" s="59">
        <v>706100</v>
      </c>
      <c r="F124" s="58">
        <f>VLOOKUP(E124,Comptes!$A$2:$B$60,2,FALSE)</f>
        <v>0</v>
      </c>
      <c r="G124" s="59"/>
      <c r="H124" s="63"/>
      <c r="I124" s="68">
        <v>35</v>
      </c>
      <c r="J124" s="64"/>
    </row>
    <row r="125" spans="1:10" ht="10.5">
      <c r="A125" s="65">
        <v>256022</v>
      </c>
      <c r="B125" s="57">
        <v>38664</v>
      </c>
      <c r="C125" s="60">
        <v>512000</v>
      </c>
      <c r="D125" s="58">
        <f>VLOOKUP(C125,Comptes!$A$2:$B$60,2,FALSE)</f>
        <v>0</v>
      </c>
      <c r="E125" s="59">
        <v>706100</v>
      </c>
      <c r="F125" s="58">
        <f>VLOOKUP(E125,Comptes!$A$2:$B$60,2,FALSE)</f>
        <v>0</v>
      </c>
      <c r="G125" s="36" t="s">
        <v>170</v>
      </c>
      <c r="H125" s="59" t="s">
        <v>391</v>
      </c>
      <c r="I125" s="68">
        <v>275</v>
      </c>
      <c r="J125" s="64"/>
    </row>
    <row r="126" spans="1:10" ht="10.5">
      <c r="A126" s="65">
        <v>256022</v>
      </c>
      <c r="B126" s="57">
        <v>38664</v>
      </c>
      <c r="C126" s="60">
        <v>512000</v>
      </c>
      <c r="D126" s="58">
        <f>VLOOKUP(C126,Comptes!$A$2:$B$60,2,FALSE)</f>
        <v>0</v>
      </c>
      <c r="E126" s="59">
        <v>756000</v>
      </c>
      <c r="F126" s="58">
        <f>VLOOKUP(E126,Comptes!$A$2:$B$60,2,FALSE)</f>
        <v>0</v>
      </c>
      <c r="G126" s="36" t="s">
        <v>170</v>
      </c>
      <c r="H126" s="59" t="s">
        <v>391</v>
      </c>
      <c r="I126" s="68">
        <v>82</v>
      </c>
      <c r="J126" s="64"/>
    </row>
    <row r="127" spans="1:10" ht="10.5">
      <c r="A127" s="65">
        <v>256022</v>
      </c>
      <c r="B127" s="57">
        <v>38664</v>
      </c>
      <c r="C127" s="60">
        <v>512000</v>
      </c>
      <c r="D127" s="58">
        <f>VLOOKUP(C127,Comptes!$A$2:$B$60,2,FALSE)</f>
        <v>0</v>
      </c>
      <c r="E127" s="59">
        <v>706100</v>
      </c>
      <c r="F127" s="58">
        <f>VLOOKUP(E127,Comptes!$A$2:$B$60,2,FALSE)</f>
        <v>0</v>
      </c>
      <c r="G127" s="36" t="s">
        <v>170</v>
      </c>
      <c r="H127" s="59" t="s">
        <v>391</v>
      </c>
      <c r="I127" s="68">
        <v>16</v>
      </c>
      <c r="J127" s="64"/>
    </row>
    <row r="128" spans="1:10" ht="10.5">
      <c r="A128" s="65">
        <v>256022</v>
      </c>
      <c r="B128" s="57">
        <v>38664</v>
      </c>
      <c r="C128" s="60">
        <v>512000</v>
      </c>
      <c r="D128" s="58">
        <f>VLOOKUP(C128,Comptes!$A$2:$B$60,2,FALSE)</f>
        <v>0</v>
      </c>
      <c r="E128" s="59">
        <v>706420</v>
      </c>
      <c r="F128" s="58">
        <f>VLOOKUP(E128,Comptes!$A$2:$B$60,2,FALSE)</f>
        <v>0</v>
      </c>
      <c r="G128" s="36" t="s">
        <v>170</v>
      </c>
      <c r="H128" s="59" t="s">
        <v>391</v>
      </c>
      <c r="I128" s="68">
        <v>160</v>
      </c>
      <c r="J128" s="64"/>
    </row>
    <row r="129" spans="1:10" ht="10.5">
      <c r="A129" s="65">
        <v>256022</v>
      </c>
      <c r="B129" s="57">
        <v>38664</v>
      </c>
      <c r="C129" s="60">
        <v>512000</v>
      </c>
      <c r="D129" s="58">
        <f>VLOOKUP(C129,Comptes!$A$2:$B$60,2,FALSE)</f>
        <v>0</v>
      </c>
      <c r="E129" s="59">
        <v>706320</v>
      </c>
      <c r="F129" s="58">
        <f>VLOOKUP(E129,Comptes!$A$2:$B$60,2,FALSE)</f>
        <v>0</v>
      </c>
      <c r="G129" s="36" t="s">
        <v>170</v>
      </c>
      <c r="H129" s="59" t="s">
        <v>391</v>
      </c>
      <c r="I129" s="68">
        <v>819.2</v>
      </c>
      <c r="J129" s="64"/>
    </row>
    <row r="130" spans="1:10" ht="10.5">
      <c r="A130" s="65">
        <v>256023</v>
      </c>
      <c r="B130" s="57">
        <v>38657</v>
      </c>
      <c r="C130" s="60">
        <v>625000</v>
      </c>
      <c r="D130" s="58">
        <f>VLOOKUP(C130,Comptes!$A$2:$B$60,2,FALSE)</f>
        <v>0</v>
      </c>
      <c r="E130" s="59">
        <v>530000</v>
      </c>
      <c r="F130" s="58">
        <f>VLOOKUP(E130,Comptes!$A$2:$B$60,2,FALSE)</f>
        <v>0</v>
      </c>
      <c r="G130" s="59"/>
      <c r="H130" s="63"/>
      <c r="I130" s="68">
        <v>503.15</v>
      </c>
      <c r="J130" s="64"/>
    </row>
    <row r="131" spans="1:10" ht="10.5">
      <c r="A131" s="65">
        <v>256023</v>
      </c>
      <c r="B131" s="57">
        <v>38657</v>
      </c>
      <c r="C131" s="60">
        <v>622600</v>
      </c>
      <c r="D131" s="58">
        <f>VLOOKUP(C131,Comptes!$A$2:$B$60,2,FALSE)</f>
        <v>0</v>
      </c>
      <c r="E131" s="59">
        <v>512000</v>
      </c>
      <c r="F131" s="58">
        <f>VLOOKUP(E131,Comptes!$A$2:$B$60,2,FALSE)</f>
        <v>0</v>
      </c>
      <c r="G131" s="36" t="s">
        <v>422</v>
      </c>
      <c r="H131" s="59" t="s">
        <v>391</v>
      </c>
      <c r="I131" s="68">
        <v>190</v>
      </c>
      <c r="J131" s="64"/>
    </row>
    <row r="132" spans="1:9" ht="10.5">
      <c r="A132" s="35">
        <v>256024</v>
      </c>
      <c r="B132" s="57">
        <v>38667</v>
      </c>
      <c r="C132" s="36">
        <v>626500</v>
      </c>
      <c r="D132" s="58">
        <f>VLOOKUP(C132,Comptes!$A$2:$B$60,2,FALSE)</f>
        <v>0</v>
      </c>
      <c r="E132" s="59">
        <v>512000</v>
      </c>
      <c r="F132" s="58">
        <f>VLOOKUP(E132,Comptes!$A$2:$B$60,2,FALSE)</f>
        <v>0</v>
      </c>
      <c r="G132" s="36" t="s">
        <v>178</v>
      </c>
      <c r="H132" s="59" t="s">
        <v>391</v>
      </c>
      <c r="I132" s="37">
        <v>162.73</v>
      </c>
    </row>
    <row r="133" spans="1:10" ht="10.5">
      <c r="A133" s="173">
        <v>256025</v>
      </c>
      <c r="B133" s="57">
        <v>38666</v>
      </c>
      <c r="C133" s="60">
        <v>613200</v>
      </c>
      <c r="D133" s="58">
        <f>VLOOKUP(C133,Comptes!$A$2:$B$60,2,FALSE)</f>
        <v>0</v>
      </c>
      <c r="E133" s="62">
        <v>512000</v>
      </c>
      <c r="F133" s="58">
        <f>VLOOKUP(E133,Comptes!$A$2:$B$60,2,FALSE)</f>
        <v>0</v>
      </c>
      <c r="G133" s="59" t="s">
        <v>178</v>
      </c>
      <c r="H133" s="59" t="s">
        <v>391</v>
      </c>
      <c r="I133" s="61">
        <v>963.5</v>
      </c>
      <c r="J133" s="64"/>
    </row>
    <row r="134" spans="1:10" ht="10.5">
      <c r="A134" s="173">
        <v>256026</v>
      </c>
      <c r="B134" s="57">
        <v>38662</v>
      </c>
      <c r="C134" s="60">
        <v>625000</v>
      </c>
      <c r="D134" s="58">
        <f>VLOOKUP(C134,Comptes!$A$2:$B$60,2,FALSE)</f>
        <v>0</v>
      </c>
      <c r="E134" s="62">
        <v>530000</v>
      </c>
      <c r="F134" s="58">
        <f>VLOOKUP(E134,Comptes!$A$2:$B$60,2,FALSE)</f>
        <v>0</v>
      </c>
      <c r="G134" s="59"/>
      <c r="H134" s="63"/>
      <c r="I134" s="61">
        <v>25.7</v>
      </c>
      <c r="J134" s="64"/>
    </row>
    <row r="135" spans="1:10" ht="10.5">
      <c r="A135" s="173">
        <v>256026</v>
      </c>
      <c r="B135" s="57">
        <v>38662</v>
      </c>
      <c r="C135" s="60">
        <v>606150</v>
      </c>
      <c r="D135" s="58">
        <f>VLOOKUP(C135,Comptes!$A$2:$B$60,2,FALSE)</f>
        <v>0</v>
      </c>
      <c r="E135" s="62">
        <v>530000</v>
      </c>
      <c r="F135" s="58">
        <f>VLOOKUP(E135,Comptes!$A$2:$B$60,2,FALSE)</f>
        <v>0</v>
      </c>
      <c r="G135" s="59"/>
      <c r="H135" s="63"/>
      <c r="I135" s="61">
        <v>49.6</v>
      </c>
      <c r="J135" s="64"/>
    </row>
    <row r="136" spans="1:10" ht="10.5">
      <c r="A136" s="173">
        <v>256026</v>
      </c>
      <c r="B136" s="57">
        <v>38662</v>
      </c>
      <c r="C136" s="60">
        <v>606700</v>
      </c>
      <c r="D136" s="58">
        <f>VLOOKUP(C136,Comptes!$A$2:$B$60,2,FALSE)</f>
        <v>0</v>
      </c>
      <c r="E136" s="62">
        <v>530000</v>
      </c>
      <c r="F136" s="58">
        <f>VLOOKUP(E136,Comptes!$A$2:$B$60,2,FALSE)</f>
        <v>0</v>
      </c>
      <c r="G136" s="59"/>
      <c r="H136" s="63"/>
      <c r="I136" s="61">
        <v>22.7</v>
      </c>
      <c r="J136" s="64"/>
    </row>
    <row r="137" spans="1:10" ht="10.5">
      <c r="A137" s="173">
        <v>256026</v>
      </c>
      <c r="B137" s="57">
        <v>38662</v>
      </c>
      <c r="C137" s="60">
        <v>606700</v>
      </c>
      <c r="D137" s="58">
        <f>VLOOKUP(C137,Comptes!$A$2:$B$60,2,FALSE)</f>
        <v>0</v>
      </c>
      <c r="E137" s="62">
        <v>530000</v>
      </c>
      <c r="F137" s="58">
        <f>VLOOKUP(E137,Comptes!$A$2:$B$60,2,FALSE)</f>
        <v>0</v>
      </c>
      <c r="G137" s="59"/>
      <c r="H137" s="63"/>
      <c r="I137" s="61">
        <f>34.21+127.91</f>
        <v>162.12</v>
      </c>
      <c r="J137" s="64"/>
    </row>
    <row r="138" spans="1:10" ht="10.5">
      <c r="A138" s="173">
        <v>256026</v>
      </c>
      <c r="B138" s="57">
        <v>38662</v>
      </c>
      <c r="C138" s="60">
        <v>606300</v>
      </c>
      <c r="D138" s="58">
        <f>VLOOKUP(C138,Comptes!$A$2:$B$60,2,FALSE)</f>
        <v>0</v>
      </c>
      <c r="E138" s="62">
        <v>530000</v>
      </c>
      <c r="F138" s="58">
        <f>VLOOKUP(E138,Comptes!$A$2:$B$60,2,FALSE)</f>
        <v>0</v>
      </c>
      <c r="G138" s="36"/>
      <c r="H138" s="63"/>
      <c r="I138" s="61">
        <v>40.48</v>
      </c>
      <c r="J138" s="35"/>
    </row>
    <row r="139" spans="1:10" ht="10.5">
      <c r="A139" s="173">
        <v>256027</v>
      </c>
      <c r="B139" s="57">
        <v>38642</v>
      </c>
      <c r="C139" s="59">
        <v>512000</v>
      </c>
      <c r="D139" s="58">
        <f>VLOOKUP(C139,Comptes!$A$2:$B$60,2,FALSE)</f>
        <v>0</v>
      </c>
      <c r="E139" s="60">
        <v>754000</v>
      </c>
      <c r="F139" s="58">
        <f>VLOOKUP(E139,Comptes!$A$2:$B$60,2,FALSE)</f>
        <v>0</v>
      </c>
      <c r="G139" s="59" t="s">
        <v>171</v>
      </c>
      <c r="H139" s="59" t="s">
        <v>390</v>
      </c>
      <c r="I139" s="68">
        <v>12.5</v>
      </c>
      <c r="J139" s="64"/>
    </row>
    <row r="140" spans="1:10" ht="10.5">
      <c r="A140" s="173">
        <v>256027</v>
      </c>
      <c r="B140" s="57">
        <v>38642</v>
      </c>
      <c r="C140" s="59">
        <v>512000</v>
      </c>
      <c r="D140" s="58">
        <f>VLOOKUP(C140,Comptes!$A$2:$B$60,2,FALSE)</f>
        <v>0</v>
      </c>
      <c r="E140" s="60">
        <v>754000</v>
      </c>
      <c r="F140" s="58">
        <f>VLOOKUP(E140,Comptes!$A$2:$B$60,2,FALSE)</f>
        <v>0</v>
      </c>
      <c r="G140" s="59" t="s">
        <v>171</v>
      </c>
      <c r="H140" s="59" t="s">
        <v>390</v>
      </c>
      <c r="I140" s="68">
        <v>30</v>
      </c>
      <c r="J140" s="64"/>
    </row>
    <row r="141" spans="1:10" ht="10.5">
      <c r="A141" s="65">
        <v>256028</v>
      </c>
      <c r="B141" s="57">
        <v>38664</v>
      </c>
      <c r="C141" s="60">
        <v>512000</v>
      </c>
      <c r="D141" s="58">
        <f>VLOOKUP(C141,Comptes!$A$2:$B$60,2,FALSE)</f>
        <v>0</v>
      </c>
      <c r="E141" s="59">
        <v>706210</v>
      </c>
      <c r="F141" s="58">
        <f>VLOOKUP(E141,Comptes!$A$2:$B$60,2,FALSE)</f>
        <v>0</v>
      </c>
      <c r="G141" s="36" t="s">
        <v>170</v>
      </c>
      <c r="H141" s="59" t="s">
        <v>391</v>
      </c>
      <c r="I141" s="68">
        <v>377</v>
      </c>
      <c r="J141" s="64"/>
    </row>
    <row r="142" spans="1:10" ht="10.5">
      <c r="A142" s="65">
        <v>256028</v>
      </c>
      <c r="B142" s="57">
        <v>38664</v>
      </c>
      <c r="C142" s="60">
        <v>512000</v>
      </c>
      <c r="D142" s="58">
        <f>VLOOKUP(C142,Comptes!$A$2:$B$60,2,FALSE)</f>
        <v>0</v>
      </c>
      <c r="E142" s="59">
        <v>706220</v>
      </c>
      <c r="F142" s="58">
        <f>VLOOKUP(E142,Comptes!$A$2:$B$60,2,FALSE)</f>
        <v>0</v>
      </c>
      <c r="G142" s="36" t="s">
        <v>170</v>
      </c>
      <c r="H142" s="59" t="s">
        <v>391</v>
      </c>
      <c r="I142" s="68">
        <v>375</v>
      </c>
      <c r="J142" s="64"/>
    </row>
    <row r="143" spans="1:10" ht="10.5">
      <c r="A143" s="65">
        <v>256028</v>
      </c>
      <c r="B143" s="57">
        <v>38664</v>
      </c>
      <c r="C143" s="60">
        <v>512000</v>
      </c>
      <c r="D143" s="58">
        <f>VLOOKUP(C143,Comptes!$A$2:$B$60,2,FALSE)</f>
        <v>0</v>
      </c>
      <c r="E143" s="59">
        <v>706230</v>
      </c>
      <c r="F143" s="58">
        <f>VLOOKUP(E143,Comptes!$A$2:$B$60,2,FALSE)</f>
        <v>0</v>
      </c>
      <c r="G143" s="36" t="s">
        <v>170</v>
      </c>
      <c r="H143" s="59" t="s">
        <v>391</v>
      </c>
      <c r="I143" s="68">
        <v>680</v>
      </c>
      <c r="J143" s="64"/>
    </row>
    <row r="144" spans="1:10" ht="10.5">
      <c r="A144" s="65">
        <v>256028</v>
      </c>
      <c r="B144" s="57">
        <v>38664</v>
      </c>
      <c r="C144" s="60">
        <v>512000</v>
      </c>
      <c r="D144" s="58">
        <f>VLOOKUP(C144,Comptes!$A$2:$B$60,2,FALSE)</f>
        <v>0</v>
      </c>
      <c r="E144" s="59">
        <v>756000</v>
      </c>
      <c r="F144" s="58">
        <f>VLOOKUP(E144,Comptes!$A$2:$B$60,2,FALSE)</f>
        <v>0</v>
      </c>
      <c r="G144" s="36" t="s">
        <v>170</v>
      </c>
      <c r="H144" s="59" t="s">
        <v>391</v>
      </c>
      <c r="I144" s="68">
        <v>169</v>
      </c>
      <c r="J144" s="64"/>
    </row>
    <row r="145" spans="1:10" ht="10.5">
      <c r="A145" s="65">
        <v>256028</v>
      </c>
      <c r="B145" s="57">
        <v>38664</v>
      </c>
      <c r="C145" s="60">
        <v>512000</v>
      </c>
      <c r="D145" s="58">
        <f>VLOOKUP(C145,Comptes!$A$2:$B$60,2,FALSE)</f>
        <v>0</v>
      </c>
      <c r="E145" s="59">
        <v>708000</v>
      </c>
      <c r="F145" s="58">
        <f>VLOOKUP(E145,Comptes!$A$2:$B$60,2,FALSE)</f>
        <v>0</v>
      </c>
      <c r="G145" s="36" t="s">
        <v>170</v>
      </c>
      <c r="H145" s="59" t="s">
        <v>391</v>
      </c>
      <c r="I145" s="68">
        <v>32</v>
      </c>
      <c r="J145" s="64"/>
    </row>
    <row r="146" spans="1:10" ht="10.5">
      <c r="A146" s="65">
        <v>256028</v>
      </c>
      <c r="B146" s="57">
        <v>38664</v>
      </c>
      <c r="C146" s="60">
        <v>512000</v>
      </c>
      <c r="D146" s="58">
        <f>VLOOKUP(C146,Comptes!$A$2:$B$60,2,FALSE)</f>
        <v>0</v>
      </c>
      <c r="E146" s="59">
        <v>706210</v>
      </c>
      <c r="F146" s="58">
        <f>VLOOKUP(E146,Comptes!$A$2:$B$60,2,FALSE)</f>
        <v>0</v>
      </c>
      <c r="G146" s="36" t="s">
        <v>170</v>
      </c>
      <c r="H146" s="59" t="s">
        <v>391</v>
      </c>
      <c r="I146" s="68">
        <v>338</v>
      </c>
      <c r="J146" s="174"/>
    </row>
    <row r="147" spans="1:10" ht="10.5">
      <c r="A147" s="65">
        <v>256028</v>
      </c>
      <c r="B147" s="57">
        <v>38664</v>
      </c>
      <c r="C147" s="60">
        <v>512000</v>
      </c>
      <c r="D147" s="58">
        <f>VLOOKUP(C147,Comptes!$A$2:$B$60,2,FALSE)</f>
        <v>0</v>
      </c>
      <c r="E147" s="59">
        <v>706220</v>
      </c>
      <c r="F147" s="58">
        <f>VLOOKUP(E147,Comptes!$A$2:$B$60,2,FALSE)</f>
        <v>0</v>
      </c>
      <c r="G147" s="36" t="s">
        <v>170</v>
      </c>
      <c r="H147" s="59" t="s">
        <v>391</v>
      </c>
      <c r="I147" s="68">
        <v>258</v>
      </c>
      <c r="J147" s="64"/>
    </row>
    <row r="148" spans="1:10" ht="10.5">
      <c r="A148" s="65">
        <v>256028</v>
      </c>
      <c r="B148" s="57">
        <v>38664</v>
      </c>
      <c r="C148" s="60">
        <v>512000</v>
      </c>
      <c r="D148" s="58">
        <f>VLOOKUP(C148,Comptes!$A$2:$B$60,2,FALSE)</f>
        <v>0</v>
      </c>
      <c r="E148" s="59">
        <v>706230</v>
      </c>
      <c r="F148" s="58">
        <f>VLOOKUP(E148,Comptes!$A$2:$B$60,2,FALSE)</f>
        <v>0</v>
      </c>
      <c r="G148" s="36" t="s">
        <v>170</v>
      </c>
      <c r="H148" s="59" t="s">
        <v>391</v>
      </c>
      <c r="I148" s="68">
        <v>1000</v>
      </c>
      <c r="J148" s="64"/>
    </row>
    <row r="149" spans="1:10" ht="10.5">
      <c r="A149" s="65">
        <v>256028</v>
      </c>
      <c r="B149" s="57">
        <v>38664</v>
      </c>
      <c r="C149" s="60">
        <v>512000</v>
      </c>
      <c r="D149" s="58">
        <f>VLOOKUP(C149,Comptes!$A$2:$B$60,2,FALSE)</f>
        <v>0</v>
      </c>
      <c r="E149" s="59">
        <v>756000</v>
      </c>
      <c r="F149" s="58">
        <f>VLOOKUP(E149,Comptes!$A$2:$B$60,2,FALSE)</f>
        <v>0</v>
      </c>
      <c r="G149" s="36" t="s">
        <v>170</v>
      </c>
      <c r="H149" s="59" t="s">
        <v>391</v>
      </c>
      <c r="I149" s="68">
        <v>192</v>
      </c>
      <c r="J149" s="64"/>
    </row>
    <row r="150" spans="1:10" ht="10.5">
      <c r="A150" s="65">
        <v>256028</v>
      </c>
      <c r="B150" s="57">
        <v>38664</v>
      </c>
      <c r="C150" s="60">
        <v>512000</v>
      </c>
      <c r="D150" s="58">
        <f>VLOOKUP(C150,Comptes!$A$2:$B$60,2,FALSE)</f>
        <v>0</v>
      </c>
      <c r="E150" s="59">
        <v>708000</v>
      </c>
      <c r="F150" s="58">
        <f>VLOOKUP(E150,Comptes!$A$2:$B$60,2,FALSE)</f>
        <v>0</v>
      </c>
      <c r="G150" s="36" t="s">
        <v>170</v>
      </c>
      <c r="H150" s="59" t="s">
        <v>391</v>
      </c>
      <c r="I150" s="68">
        <v>40</v>
      </c>
      <c r="J150" s="64"/>
    </row>
    <row r="151" spans="1:10" ht="10.5">
      <c r="A151" s="47">
        <v>256028</v>
      </c>
      <c r="B151" s="48">
        <v>38664</v>
      </c>
      <c r="C151" s="51">
        <v>511200</v>
      </c>
      <c r="D151" s="58">
        <f>VLOOKUP(C151,Comptes!$A$2:$B$60,2,FALSE)</f>
        <v>0</v>
      </c>
      <c r="E151" s="51">
        <v>512000</v>
      </c>
      <c r="F151" s="58">
        <f>VLOOKUP(E151,Comptes!$A$2:$B$60,2,FALSE)</f>
        <v>0</v>
      </c>
      <c r="G151" s="49" t="s">
        <v>170</v>
      </c>
      <c r="H151" s="59" t="s">
        <v>391</v>
      </c>
      <c r="I151" s="68">
        <v>157</v>
      </c>
      <c r="J151" s="64"/>
    </row>
    <row r="152" spans="1:10" ht="10.5">
      <c r="A152" s="65">
        <v>256028</v>
      </c>
      <c r="B152" s="57">
        <v>38664</v>
      </c>
      <c r="C152" s="60">
        <v>512000</v>
      </c>
      <c r="D152" s="58">
        <f>VLOOKUP(C152,Comptes!$A$2:$B$60,2,FALSE)</f>
        <v>0</v>
      </c>
      <c r="E152" s="59">
        <v>756000</v>
      </c>
      <c r="F152" s="58">
        <f>VLOOKUP(E152,Comptes!$A$2:$B$60,2,FALSE)</f>
        <v>0</v>
      </c>
      <c r="G152" s="36" t="s">
        <v>170</v>
      </c>
      <c r="H152" s="59" t="s">
        <v>391</v>
      </c>
      <c r="I152" s="68">
        <v>185</v>
      </c>
      <c r="J152" s="64"/>
    </row>
    <row r="153" spans="1:10" ht="10.5">
      <c r="A153" s="65">
        <v>256028</v>
      </c>
      <c r="B153" s="57">
        <v>38664</v>
      </c>
      <c r="C153" s="60">
        <v>512000</v>
      </c>
      <c r="D153" s="58">
        <f>VLOOKUP(C153,Comptes!$A$2:$B$60,2,FALSE)</f>
        <v>0</v>
      </c>
      <c r="E153" s="59">
        <v>708000</v>
      </c>
      <c r="F153" s="58">
        <f>VLOOKUP(E153,Comptes!$A$2:$B$60,2,FALSE)</f>
        <v>0</v>
      </c>
      <c r="G153" s="36" t="s">
        <v>170</v>
      </c>
      <c r="H153" s="59" t="s">
        <v>391</v>
      </c>
      <c r="I153" s="68">
        <v>90</v>
      </c>
      <c r="J153" s="64"/>
    </row>
    <row r="154" spans="1:10" ht="10.5">
      <c r="A154" s="65">
        <v>256028</v>
      </c>
      <c r="B154" s="57">
        <v>38664</v>
      </c>
      <c r="C154" s="60">
        <v>512000</v>
      </c>
      <c r="D154" s="58">
        <f>VLOOKUP(C154,Comptes!$A$2:$B$60,2,FALSE)</f>
        <v>0</v>
      </c>
      <c r="E154" s="59">
        <v>754000</v>
      </c>
      <c r="F154" s="58">
        <f>VLOOKUP(E154,Comptes!$A$2:$B$60,2,FALSE)</f>
        <v>0</v>
      </c>
      <c r="G154" s="36" t="s">
        <v>170</v>
      </c>
      <c r="H154" s="59" t="s">
        <v>391</v>
      </c>
      <c r="I154" s="68">
        <v>75</v>
      </c>
      <c r="J154" s="64"/>
    </row>
    <row r="155" spans="1:10" ht="10.5">
      <c r="A155" s="65">
        <v>256028</v>
      </c>
      <c r="B155" s="57">
        <v>38664</v>
      </c>
      <c r="C155" s="60">
        <v>530000</v>
      </c>
      <c r="D155" s="58">
        <f>VLOOKUP(C155,Comptes!$A$2:$B$60,2,FALSE)</f>
        <v>0</v>
      </c>
      <c r="E155" s="59">
        <v>706210</v>
      </c>
      <c r="F155" s="58">
        <f>VLOOKUP(E155,Comptes!$A$2:$B$60,2,FALSE)</f>
        <v>0</v>
      </c>
      <c r="G155" s="36"/>
      <c r="H155" s="63"/>
      <c r="I155" s="68">
        <v>368</v>
      </c>
      <c r="J155" s="64"/>
    </row>
    <row r="156" spans="1:10" ht="10.5">
      <c r="A156" s="65">
        <v>256028</v>
      </c>
      <c r="B156" s="57">
        <v>38664</v>
      </c>
      <c r="C156" s="60">
        <v>530000</v>
      </c>
      <c r="D156" s="58">
        <f>VLOOKUP(C156,Comptes!$A$2:$B$60,2,FALSE)</f>
        <v>0</v>
      </c>
      <c r="E156" s="59">
        <v>706220</v>
      </c>
      <c r="F156" s="58">
        <f>VLOOKUP(E156,Comptes!$A$2:$B$60,2,FALSE)</f>
        <v>0</v>
      </c>
      <c r="G156" s="36"/>
      <c r="H156" s="63"/>
      <c r="I156" s="68">
        <v>240</v>
      </c>
      <c r="J156" s="64"/>
    </row>
    <row r="157" spans="1:10" ht="10.5">
      <c r="A157" s="65">
        <v>256028</v>
      </c>
      <c r="B157" s="57">
        <v>38664</v>
      </c>
      <c r="C157" s="60">
        <v>530000</v>
      </c>
      <c r="D157" s="58">
        <f>VLOOKUP(C157,Comptes!$A$2:$B$60,2,FALSE)</f>
        <v>0</v>
      </c>
      <c r="E157" s="59">
        <v>706230</v>
      </c>
      <c r="F157" s="58">
        <f>VLOOKUP(E157,Comptes!$A$2:$B$60,2,FALSE)</f>
        <v>0</v>
      </c>
      <c r="G157" s="36"/>
      <c r="H157" s="63"/>
      <c r="I157" s="68">
        <v>467</v>
      </c>
      <c r="J157" s="64"/>
    </row>
    <row r="158" spans="1:10" ht="10.5">
      <c r="A158" s="65">
        <v>256028</v>
      </c>
      <c r="B158" s="57">
        <v>38664</v>
      </c>
      <c r="C158" s="60">
        <v>530000</v>
      </c>
      <c r="D158" s="58">
        <f>VLOOKUP(C158,Comptes!$A$2:$B$60,2,FALSE)</f>
        <v>0</v>
      </c>
      <c r="E158" s="59">
        <v>756000</v>
      </c>
      <c r="F158" s="58">
        <f>VLOOKUP(E158,Comptes!$A$2:$B$60,2,FALSE)</f>
        <v>0</v>
      </c>
      <c r="G158" s="36"/>
      <c r="H158" s="63"/>
      <c r="I158" s="68">
        <v>50</v>
      </c>
      <c r="J158" s="64"/>
    </row>
    <row r="159" spans="1:10" ht="10.5">
      <c r="A159" s="65">
        <v>256028</v>
      </c>
      <c r="B159" s="57">
        <v>38664</v>
      </c>
      <c r="C159" s="60">
        <v>530000</v>
      </c>
      <c r="D159" s="58">
        <f>VLOOKUP(C159,Comptes!$A$2:$B$60,2,FALSE)</f>
        <v>0</v>
      </c>
      <c r="E159" s="59">
        <v>708000</v>
      </c>
      <c r="F159" s="58">
        <f>VLOOKUP(E159,Comptes!$A$2:$B$60,2,FALSE)</f>
        <v>0</v>
      </c>
      <c r="G159" s="36"/>
      <c r="H159" s="63"/>
      <c r="I159" s="68">
        <v>16</v>
      </c>
      <c r="J159" s="64"/>
    </row>
    <row r="160" spans="1:10" ht="10.5">
      <c r="A160" s="65">
        <v>256028</v>
      </c>
      <c r="B160" s="57">
        <v>38664</v>
      </c>
      <c r="C160" s="60">
        <v>530000</v>
      </c>
      <c r="D160" s="58">
        <f>VLOOKUP(C160,Comptes!$A$2:$B$60,2,FALSE)</f>
        <v>0</v>
      </c>
      <c r="E160" s="59">
        <v>706210</v>
      </c>
      <c r="F160" s="58">
        <f>VLOOKUP(E160,Comptes!$A$2:$B$60,2,FALSE)</f>
        <v>0</v>
      </c>
      <c r="G160" s="36"/>
      <c r="H160" s="63"/>
      <c r="I160" s="68">
        <v>15</v>
      </c>
      <c r="J160" s="64"/>
    </row>
    <row r="161" spans="1:10" ht="10.5">
      <c r="A161" s="65">
        <v>256028</v>
      </c>
      <c r="B161" s="57">
        <v>38664</v>
      </c>
      <c r="C161" s="60">
        <v>530000</v>
      </c>
      <c r="D161" s="58">
        <f>VLOOKUP(C161,Comptes!$A$2:$B$60,2,FALSE)</f>
        <v>0</v>
      </c>
      <c r="E161" s="59">
        <v>706220</v>
      </c>
      <c r="F161" s="58">
        <f>VLOOKUP(E161,Comptes!$A$2:$B$60,2,FALSE)</f>
        <v>0</v>
      </c>
      <c r="G161" s="36"/>
      <c r="H161" s="63"/>
      <c r="I161" s="68">
        <v>6</v>
      </c>
      <c r="J161" s="64"/>
    </row>
    <row r="162" spans="1:10" ht="10.5">
      <c r="A162" s="65">
        <v>256028</v>
      </c>
      <c r="B162" s="57">
        <v>38664</v>
      </c>
      <c r="C162" s="60">
        <v>530000</v>
      </c>
      <c r="D162" s="58">
        <f>VLOOKUP(C162,Comptes!$A$2:$B$60,2,FALSE)</f>
        <v>0</v>
      </c>
      <c r="E162" s="59">
        <v>706230</v>
      </c>
      <c r="F162" s="58">
        <f>VLOOKUP(E162,Comptes!$A$2:$B$60,2,FALSE)</f>
        <v>0</v>
      </c>
      <c r="G162" s="36"/>
      <c r="H162" s="63"/>
      <c r="I162" s="68">
        <v>60</v>
      </c>
      <c r="J162" s="64"/>
    </row>
    <row r="163" spans="1:10" ht="10.5">
      <c r="A163" s="65">
        <v>256028</v>
      </c>
      <c r="B163" s="57">
        <v>38664</v>
      </c>
      <c r="C163" s="60">
        <v>530000</v>
      </c>
      <c r="D163" s="58">
        <f>VLOOKUP(C163,Comptes!$A$2:$B$60,2,FALSE)</f>
        <v>0</v>
      </c>
      <c r="E163" s="59">
        <v>708000</v>
      </c>
      <c r="F163" s="58">
        <f>VLOOKUP(E163,Comptes!$A$2:$B$60,2,FALSE)</f>
        <v>0</v>
      </c>
      <c r="G163" s="36"/>
      <c r="H163" s="63"/>
      <c r="I163" s="68">
        <v>10</v>
      </c>
      <c r="J163" s="64"/>
    </row>
    <row r="164" spans="1:10" ht="10.5">
      <c r="A164" s="65">
        <v>256028</v>
      </c>
      <c r="B164" s="57">
        <v>38664</v>
      </c>
      <c r="C164" s="60">
        <v>530000</v>
      </c>
      <c r="D164" s="58">
        <f>VLOOKUP(C164,Comptes!$A$2:$B$60,2,FALSE)</f>
        <v>0</v>
      </c>
      <c r="E164" s="59">
        <v>758000</v>
      </c>
      <c r="F164" s="58">
        <f>VLOOKUP(E164,Comptes!$A$2:$B$60,2,FALSE)</f>
        <v>0</v>
      </c>
      <c r="G164" s="36"/>
      <c r="H164" s="63"/>
      <c r="I164" s="68">
        <v>41</v>
      </c>
      <c r="J164" s="64"/>
    </row>
    <row r="165" spans="1:10" ht="10.5">
      <c r="A165" s="65">
        <v>256029</v>
      </c>
      <c r="B165" s="57">
        <v>38665</v>
      </c>
      <c r="C165" s="60">
        <v>606700</v>
      </c>
      <c r="D165" s="58">
        <f>VLOOKUP(C165,Comptes!$A$2:$B$60,2,FALSE)</f>
        <v>0</v>
      </c>
      <c r="E165" s="60">
        <v>530000</v>
      </c>
      <c r="F165" s="58">
        <f>VLOOKUP(E165,Comptes!$A$2:$B$60,2,FALSE)</f>
        <v>0</v>
      </c>
      <c r="G165" s="36"/>
      <c r="H165" s="63"/>
      <c r="I165" s="68">
        <v>13.3</v>
      </c>
      <c r="J165" s="64"/>
    </row>
    <row r="166" spans="1:10" ht="10.5">
      <c r="A166" s="65">
        <v>256029</v>
      </c>
      <c r="B166" s="57">
        <v>38665</v>
      </c>
      <c r="C166" s="60">
        <v>606700</v>
      </c>
      <c r="D166" s="58">
        <f>VLOOKUP(C166,Comptes!$A$2:$B$60,2,FALSE)</f>
        <v>0</v>
      </c>
      <c r="E166" s="60">
        <v>530000</v>
      </c>
      <c r="F166" s="58">
        <f>VLOOKUP(E166,Comptes!$A$2:$B$60,2,FALSE)</f>
        <v>0</v>
      </c>
      <c r="G166" s="36"/>
      <c r="H166" s="63"/>
      <c r="I166" s="68">
        <v>19.33</v>
      </c>
      <c r="J166" s="64"/>
    </row>
    <row r="167" spans="1:10" ht="10.5">
      <c r="A167" s="65">
        <v>256029</v>
      </c>
      <c r="B167" s="57">
        <v>38665</v>
      </c>
      <c r="C167" s="60">
        <v>606700</v>
      </c>
      <c r="D167" s="58">
        <f>VLOOKUP(C167,Comptes!$A$2:$B$60,2,FALSE)</f>
        <v>0</v>
      </c>
      <c r="E167" s="60">
        <v>530000</v>
      </c>
      <c r="F167" s="58">
        <f>VLOOKUP(E167,Comptes!$A$2:$B$60,2,FALSE)</f>
        <v>0</v>
      </c>
      <c r="G167" s="36"/>
      <c r="H167" s="63"/>
      <c r="I167" s="68">
        <v>152.81</v>
      </c>
      <c r="J167" s="64"/>
    </row>
    <row r="168" spans="1:10" ht="10.5">
      <c r="A168" s="65">
        <v>256030</v>
      </c>
      <c r="B168" s="57">
        <v>38667</v>
      </c>
      <c r="C168" s="60">
        <v>615000</v>
      </c>
      <c r="D168" s="58">
        <f>VLOOKUP(C168,Comptes!$A$2:$B$60,2,FALSE)</f>
        <v>0</v>
      </c>
      <c r="E168" s="60">
        <v>512000</v>
      </c>
      <c r="F168" s="58">
        <f>VLOOKUP(E168,Comptes!$A$2:$B$60,2,FALSE)</f>
        <v>0</v>
      </c>
      <c r="G168" s="36" t="s">
        <v>423</v>
      </c>
      <c r="H168" s="59" t="s">
        <v>424</v>
      </c>
      <c r="I168" s="68">
        <v>97.68</v>
      </c>
      <c r="J168" s="64"/>
    </row>
    <row r="169" spans="1:10" ht="10.5">
      <c r="A169" s="65">
        <v>256031</v>
      </c>
      <c r="B169" s="57">
        <v>38669</v>
      </c>
      <c r="C169" s="60">
        <v>622600</v>
      </c>
      <c r="D169" s="58">
        <f>VLOOKUP(C169,Comptes!$A$2:$B$60,2,FALSE)</f>
        <v>0</v>
      </c>
      <c r="E169" s="60">
        <v>512000</v>
      </c>
      <c r="F169" s="58">
        <f>VLOOKUP(E169,Comptes!$A$2:$B$60,2,FALSE)</f>
        <v>0</v>
      </c>
      <c r="G169" s="36" t="s">
        <v>425</v>
      </c>
      <c r="H169" s="59" t="s">
        <v>424</v>
      </c>
      <c r="I169" s="68">
        <v>193</v>
      </c>
      <c r="J169" s="64"/>
    </row>
    <row r="170" spans="1:10" ht="10.5">
      <c r="A170" s="65">
        <v>256031</v>
      </c>
      <c r="B170" s="57">
        <v>38669</v>
      </c>
      <c r="C170" s="60">
        <v>625000</v>
      </c>
      <c r="D170" s="58">
        <f>VLOOKUP(C170,Comptes!$A$2:$B$60,2,FALSE)</f>
        <v>0</v>
      </c>
      <c r="E170" s="60">
        <v>512000</v>
      </c>
      <c r="F170" s="58">
        <f>VLOOKUP(E170,Comptes!$A$2:$B$60,2,FALSE)</f>
        <v>0</v>
      </c>
      <c r="G170" s="36" t="s">
        <v>425</v>
      </c>
      <c r="H170" s="59" t="s">
        <v>424</v>
      </c>
      <c r="I170" s="68">
        <v>82</v>
      </c>
      <c r="J170" s="64"/>
    </row>
    <row r="171" spans="1:10" ht="10.5">
      <c r="A171" s="65">
        <v>245163</v>
      </c>
      <c r="B171" s="57">
        <v>38670</v>
      </c>
      <c r="C171" s="60">
        <v>606110</v>
      </c>
      <c r="D171" s="58">
        <f>VLOOKUP(C171,Comptes!$A$2:$B$60,2,FALSE)</f>
        <v>0</v>
      </c>
      <c r="E171" s="59">
        <v>512000</v>
      </c>
      <c r="F171" s="58">
        <f>VLOOKUP(E171,Comptes!$A$2:$B$60,2,FALSE)</f>
        <v>0</v>
      </c>
      <c r="G171" s="59" t="s">
        <v>178</v>
      </c>
      <c r="H171" s="59" t="s">
        <v>391</v>
      </c>
      <c r="I171" s="61">
        <v>149</v>
      </c>
      <c r="J171" s="64"/>
    </row>
    <row r="172" spans="1:10" ht="10.5">
      <c r="A172" s="65">
        <v>256032</v>
      </c>
      <c r="B172" s="57">
        <v>38659</v>
      </c>
      <c r="C172" s="60">
        <v>512000</v>
      </c>
      <c r="D172" s="58">
        <f>VLOOKUP(C172,Comptes!$A$2:$B$60,2,FALSE)</f>
        <v>0</v>
      </c>
      <c r="E172" s="59">
        <v>754000</v>
      </c>
      <c r="F172" s="58">
        <f>VLOOKUP(E172,Comptes!$A$2:$B$60,2,FALSE)</f>
        <v>0</v>
      </c>
      <c r="G172" s="59" t="s">
        <v>171</v>
      </c>
      <c r="H172" s="59" t="s">
        <v>391</v>
      </c>
      <c r="I172" s="61">
        <v>150</v>
      </c>
      <c r="J172" s="64"/>
    </row>
    <row r="173" spans="1:10" ht="10.5">
      <c r="A173" s="65">
        <v>256032</v>
      </c>
      <c r="B173" s="57">
        <v>38660</v>
      </c>
      <c r="C173" s="60">
        <v>512000</v>
      </c>
      <c r="D173" s="58">
        <f>VLOOKUP(C173,Comptes!$A$2:$B$60,2,FALSE)</f>
        <v>0</v>
      </c>
      <c r="E173" s="59">
        <v>754000</v>
      </c>
      <c r="F173" s="58">
        <f>VLOOKUP(E173,Comptes!$A$2:$B$60,2,FALSE)</f>
        <v>0</v>
      </c>
      <c r="G173" s="59" t="s">
        <v>171</v>
      </c>
      <c r="H173" s="59" t="s">
        <v>391</v>
      </c>
      <c r="I173" s="61">
        <v>15</v>
      </c>
      <c r="J173" s="64"/>
    </row>
    <row r="174" spans="1:10" ht="10.5">
      <c r="A174" s="65">
        <v>256032</v>
      </c>
      <c r="B174" s="57">
        <v>38666</v>
      </c>
      <c r="C174" s="60">
        <v>512000</v>
      </c>
      <c r="D174" s="58">
        <f>VLOOKUP(C174,Comptes!$A$2:$B$60,2,FALSE)</f>
        <v>0</v>
      </c>
      <c r="E174" s="59">
        <v>754000</v>
      </c>
      <c r="F174" s="58">
        <f>VLOOKUP(E174,Comptes!$A$2:$B$60,2,FALSE)</f>
        <v>0</v>
      </c>
      <c r="G174" s="59" t="s">
        <v>171</v>
      </c>
      <c r="H174" s="59" t="s">
        <v>391</v>
      </c>
      <c r="I174" s="61">
        <v>15</v>
      </c>
      <c r="J174" s="64"/>
    </row>
    <row r="175" spans="1:10" ht="10.5">
      <c r="A175" s="65">
        <v>256032</v>
      </c>
      <c r="B175" s="57">
        <v>38671</v>
      </c>
      <c r="C175" s="59">
        <v>512000</v>
      </c>
      <c r="D175" s="58">
        <f>VLOOKUP(C175,Comptes!$A$2:$B$60,2,FALSE)</f>
        <v>0</v>
      </c>
      <c r="E175" s="60">
        <v>754000</v>
      </c>
      <c r="F175" s="58">
        <f>VLOOKUP(E175,Comptes!$A$2:$B$60,2,FALSE)</f>
        <v>0</v>
      </c>
      <c r="G175" s="59" t="s">
        <v>171</v>
      </c>
      <c r="H175" s="59" t="s">
        <v>391</v>
      </c>
      <c r="I175" s="68">
        <v>12.5</v>
      </c>
      <c r="J175" s="64"/>
    </row>
    <row r="176" spans="1:10" ht="10.5">
      <c r="A176" s="65">
        <v>256032</v>
      </c>
      <c r="B176" s="57">
        <v>38671</v>
      </c>
      <c r="C176" s="59">
        <v>512000</v>
      </c>
      <c r="D176" s="58">
        <f>VLOOKUP(C176,Comptes!$A$2:$B$60,2,FALSE)</f>
        <v>0</v>
      </c>
      <c r="E176" s="60">
        <v>754000</v>
      </c>
      <c r="F176" s="58">
        <f>VLOOKUP(E176,Comptes!$A$2:$B$60,2,FALSE)</f>
        <v>0</v>
      </c>
      <c r="G176" s="59" t="s">
        <v>171</v>
      </c>
      <c r="H176" s="59" t="s">
        <v>391</v>
      </c>
      <c r="I176" s="68">
        <v>30</v>
      </c>
      <c r="J176" s="64"/>
    </row>
    <row r="177" spans="1:10" ht="10.5">
      <c r="A177" s="65">
        <v>256033</v>
      </c>
      <c r="B177" s="57">
        <v>38671</v>
      </c>
      <c r="C177" s="60">
        <v>626500</v>
      </c>
      <c r="D177" s="58">
        <f>VLOOKUP(C177,Comptes!$A$2:$B$60,2,FALSE)</f>
        <v>0</v>
      </c>
      <c r="E177" s="59">
        <v>512000</v>
      </c>
      <c r="F177" s="58">
        <f>VLOOKUP(E177,Comptes!$A$2:$B$60,2,FALSE)</f>
        <v>0</v>
      </c>
      <c r="G177" s="36" t="s">
        <v>178</v>
      </c>
      <c r="H177" s="59" t="s">
        <v>424</v>
      </c>
      <c r="I177" s="61">
        <v>19.9</v>
      </c>
      <c r="J177" s="35"/>
    </row>
    <row r="178" spans="1:10" ht="10.5">
      <c r="A178" s="65">
        <v>256034</v>
      </c>
      <c r="B178" s="57">
        <v>38674</v>
      </c>
      <c r="C178" s="60">
        <v>625000</v>
      </c>
      <c r="D178" s="58">
        <f>VLOOKUP(C178,Comptes!$A$2:$B$60,2,FALSE)</f>
        <v>0</v>
      </c>
      <c r="E178" s="59">
        <v>530000</v>
      </c>
      <c r="F178" s="58">
        <f>VLOOKUP(E178,Comptes!$A$2:$B$60,2,FALSE)</f>
        <v>0</v>
      </c>
      <c r="G178" s="59"/>
      <c r="H178" s="63"/>
      <c r="I178" s="68">
        <v>51.4</v>
      </c>
      <c r="J178" s="64"/>
    </row>
    <row r="179" spans="1:10" ht="10.5">
      <c r="A179" s="65">
        <v>256035</v>
      </c>
      <c r="B179" s="57">
        <v>38674</v>
      </c>
      <c r="C179" s="60">
        <v>606700</v>
      </c>
      <c r="D179" s="58">
        <f>VLOOKUP(C179,Comptes!$A$2:$B$60,2,FALSE)</f>
        <v>0</v>
      </c>
      <c r="E179" s="59">
        <v>530000</v>
      </c>
      <c r="F179" s="58">
        <f>VLOOKUP(E179,Comptes!$A$2:$B$60,2,FALSE)</f>
        <v>0</v>
      </c>
      <c r="G179" s="59"/>
      <c r="H179" s="63"/>
      <c r="I179" s="68">
        <f>7.3+14.25+162.18+25.35</f>
        <v>209.08</v>
      </c>
      <c r="J179" s="64"/>
    </row>
    <row r="180" spans="1:10" ht="10.5">
      <c r="A180" s="65">
        <v>256036</v>
      </c>
      <c r="B180" s="57">
        <v>38676</v>
      </c>
      <c r="C180" s="59">
        <v>512000</v>
      </c>
      <c r="D180" s="58">
        <f>VLOOKUP(C180,Comptes!$A$2:$B$60,2,FALSE)</f>
        <v>0</v>
      </c>
      <c r="E180" s="59">
        <v>706210</v>
      </c>
      <c r="F180" s="58">
        <f>VLOOKUP(E180,Comptes!$A$2:$B$60,2,FALSE)</f>
        <v>0</v>
      </c>
      <c r="G180" s="59" t="s">
        <v>170</v>
      </c>
      <c r="H180" s="59" t="s">
        <v>424</v>
      </c>
      <c r="I180" s="68">
        <v>465</v>
      </c>
      <c r="J180" s="64"/>
    </row>
    <row r="181" spans="1:10" ht="10.5">
      <c r="A181" s="65">
        <v>256036</v>
      </c>
      <c r="B181" s="57">
        <v>38676</v>
      </c>
      <c r="C181" s="59">
        <v>512000</v>
      </c>
      <c r="D181" s="58">
        <f>VLOOKUP(C181,Comptes!$A$2:$B$60,2,FALSE)</f>
        <v>0</v>
      </c>
      <c r="E181" s="59">
        <v>706220</v>
      </c>
      <c r="F181" s="58">
        <f>VLOOKUP(E181,Comptes!$A$2:$B$60,2,FALSE)</f>
        <v>0</v>
      </c>
      <c r="G181" s="59" t="s">
        <v>170</v>
      </c>
      <c r="H181" s="59" t="s">
        <v>424</v>
      </c>
      <c r="I181" s="68">
        <v>390</v>
      </c>
      <c r="J181" s="64"/>
    </row>
    <row r="182" spans="1:10" ht="10.5">
      <c r="A182" s="65">
        <v>256036</v>
      </c>
      <c r="B182" s="57">
        <v>38676</v>
      </c>
      <c r="C182" s="59">
        <v>512000</v>
      </c>
      <c r="D182" s="58">
        <f>VLOOKUP(C182,Comptes!$A$2:$B$60,2,FALSE)</f>
        <v>0</v>
      </c>
      <c r="E182" s="59">
        <v>706230</v>
      </c>
      <c r="F182" s="58">
        <f>VLOOKUP(E182,Comptes!$A$2:$B$60,2,FALSE)</f>
        <v>0</v>
      </c>
      <c r="G182" s="59" t="s">
        <v>170</v>
      </c>
      <c r="H182" s="59" t="s">
        <v>424</v>
      </c>
      <c r="I182" s="68">
        <v>1451</v>
      </c>
      <c r="J182" s="64"/>
    </row>
    <row r="183" spans="1:10" ht="10.5">
      <c r="A183" s="65">
        <v>256036</v>
      </c>
      <c r="B183" s="57">
        <v>38676</v>
      </c>
      <c r="C183" s="59">
        <v>512000</v>
      </c>
      <c r="D183" s="58">
        <f>VLOOKUP(C183,Comptes!$A$2:$B$60,2,FALSE)</f>
        <v>0</v>
      </c>
      <c r="E183" s="59">
        <v>756000</v>
      </c>
      <c r="F183" s="58">
        <f>VLOOKUP(E183,Comptes!$A$2:$B$60,2,FALSE)</f>
        <v>0</v>
      </c>
      <c r="G183" s="59" t="s">
        <v>170</v>
      </c>
      <c r="H183" s="59" t="s">
        <v>424</v>
      </c>
      <c r="I183" s="68">
        <v>96</v>
      </c>
      <c r="J183" s="64"/>
    </row>
    <row r="184" spans="1:10" ht="10.5">
      <c r="A184" s="65">
        <v>256036</v>
      </c>
      <c r="B184" s="57">
        <v>38676</v>
      </c>
      <c r="C184" s="59">
        <v>512000</v>
      </c>
      <c r="D184" s="58">
        <f>VLOOKUP(C184,Comptes!$A$2:$B$60,2,FALSE)</f>
        <v>0</v>
      </c>
      <c r="E184" s="59">
        <v>708000</v>
      </c>
      <c r="F184" s="58">
        <f>VLOOKUP(E184,Comptes!$A$2:$B$60,2,FALSE)</f>
        <v>0</v>
      </c>
      <c r="G184" s="59" t="s">
        <v>170</v>
      </c>
      <c r="H184" s="59" t="s">
        <v>424</v>
      </c>
      <c r="I184" s="68">
        <v>8</v>
      </c>
      <c r="J184" s="64"/>
    </row>
    <row r="185" spans="1:10" ht="10.5">
      <c r="A185" s="65">
        <v>256036</v>
      </c>
      <c r="B185" s="57">
        <v>38676</v>
      </c>
      <c r="C185" s="59">
        <v>512000</v>
      </c>
      <c r="D185" s="58">
        <f>VLOOKUP(C185,Comptes!$A$2:$B$60,2,FALSE)</f>
        <v>0</v>
      </c>
      <c r="E185" s="59">
        <v>706210</v>
      </c>
      <c r="F185" s="58">
        <f>VLOOKUP(E185,Comptes!$A$2:$B$60,2,FALSE)</f>
        <v>0</v>
      </c>
      <c r="G185" s="59" t="s">
        <v>170</v>
      </c>
      <c r="H185" s="59" t="s">
        <v>424</v>
      </c>
      <c r="I185" s="68">
        <v>55</v>
      </c>
      <c r="J185" s="64"/>
    </row>
    <row r="186" spans="1:10" ht="10.5">
      <c r="A186" s="65">
        <v>256036</v>
      </c>
      <c r="B186" s="57">
        <v>38676</v>
      </c>
      <c r="C186" s="59">
        <v>512000</v>
      </c>
      <c r="D186" s="58">
        <f>VLOOKUP(C186,Comptes!$A$2:$B$60,2,FALSE)</f>
        <v>0</v>
      </c>
      <c r="E186" s="59">
        <v>756000</v>
      </c>
      <c r="F186" s="58">
        <f>VLOOKUP(E186,Comptes!$A$2:$B$60,2,FALSE)</f>
        <v>0</v>
      </c>
      <c r="G186" s="59" t="s">
        <v>170</v>
      </c>
      <c r="H186" s="59" t="s">
        <v>424</v>
      </c>
      <c r="I186" s="68">
        <v>168</v>
      </c>
      <c r="J186" s="64"/>
    </row>
    <row r="187" spans="1:10" ht="10.5">
      <c r="A187" s="65">
        <v>256036</v>
      </c>
      <c r="B187" s="57">
        <v>38676</v>
      </c>
      <c r="C187" s="59">
        <v>512000</v>
      </c>
      <c r="D187" s="58">
        <f>VLOOKUP(C187,Comptes!$A$2:$B$60,2,FALSE)</f>
        <v>0</v>
      </c>
      <c r="E187" s="59">
        <v>708000</v>
      </c>
      <c r="F187" s="58">
        <f>VLOOKUP(E187,Comptes!$A$2:$B$60,2,FALSE)</f>
        <v>0</v>
      </c>
      <c r="G187" s="59" t="s">
        <v>170</v>
      </c>
      <c r="H187" s="59" t="s">
        <v>424</v>
      </c>
      <c r="I187" s="68">
        <v>50</v>
      </c>
      <c r="J187" s="64"/>
    </row>
    <row r="188" spans="1:10" ht="10.5">
      <c r="A188" s="65">
        <v>256036</v>
      </c>
      <c r="B188" s="57">
        <v>38676</v>
      </c>
      <c r="C188" s="59">
        <v>512000</v>
      </c>
      <c r="D188" s="58">
        <f>VLOOKUP(C188,Comptes!$A$2:$B$60,2,FALSE)</f>
        <v>0</v>
      </c>
      <c r="E188" s="60">
        <v>754000</v>
      </c>
      <c r="F188" s="58">
        <f>VLOOKUP(E188,Comptes!$A$2:$B$60,2,FALSE)</f>
        <v>0</v>
      </c>
      <c r="G188" s="59" t="s">
        <v>170</v>
      </c>
      <c r="H188" s="59" t="s">
        <v>424</v>
      </c>
      <c r="I188" s="68">
        <v>160</v>
      </c>
      <c r="J188" s="64"/>
    </row>
    <row r="189" spans="1:10" ht="10.5">
      <c r="A189" s="65">
        <v>256036</v>
      </c>
      <c r="B189" s="57">
        <v>38676</v>
      </c>
      <c r="C189" s="59">
        <v>512000</v>
      </c>
      <c r="D189" s="58">
        <f>VLOOKUP(C189,Comptes!$A$2:$B$60,2,FALSE)</f>
        <v>0</v>
      </c>
      <c r="E189" s="59">
        <v>706100</v>
      </c>
      <c r="F189" s="58">
        <f>VLOOKUP(E189,Comptes!$A$2:$B$60,2,FALSE)</f>
        <v>0</v>
      </c>
      <c r="G189" s="59" t="s">
        <v>170</v>
      </c>
      <c r="H189" s="59" t="s">
        <v>424</v>
      </c>
      <c r="I189" s="68">
        <v>120</v>
      </c>
      <c r="J189" s="64"/>
    </row>
    <row r="190" spans="1:10" ht="10.5">
      <c r="A190" s="65">
        <v>256036</v>
      </c>
      <c r="B190" s="57">
        <v>38676</v>
      </c>
      <c r="C190" s="59">
        <v>512000</v>
      </c>
      <c r="D190" s="58">
        <f>VLOOKUP(C190,Comptes!$A$2:$B$60,2,FALSE)</f>
        <v>0</v>
      </c>
      <c r="E190" s="59">
        <v>706210</v>
      </c>
      <c r="F190" s="58">
        <f>VLOOKUP(E190,Comptes!$A$2:$B$60,2,FALSE)</f>
        <v>0</v>
      </c>
      <c r="G190" s="59" t="s">
        <v>170</v>
      </c>
      <c r="H190" s="59" t="s">
        <v>424</v>
      </c>
      <c r="I190" s="68">
        <v>200</v>
      </c>
      <c r="J190" s="64"/>
    </row>
    <row r="191" spans="1:10" ht="10.5">
      <c r="A191" s="65">
        <v>256036</v>
      </c>
      <c r="B191" s="57">
        <v>38676</v>
      </c>
      <c r="C191" s="59">
        <v>530000</v>
      </c>
      <c r="D191" s="58">
        <f>VLOOKUP(C191,Comptes!$A$2:$B$60,2,FALSE)</f>
        <v>0</v>
      </c>
      <c r="E191" s="59">
        <v>706210</v>
      </c>
      <c r="F191" s="58">
        <f>VLOOKUP(E191,Comptes!$A$2:$B$60,2,FALSE)</f>
        <v>0</v>
      </c>
      <c r="G191" s="59"/>
      <c r="H191" s="63"/>
      <c r="I191" s="68">
        <v>45</v>
      </c>
      <c r="J191" s="64"/>
    </row>
    <row r="192" spans="1:10" ht="10.5">
      <c r="A192" s="65">
        <v>256036</v>
      </c>
      <c r="B192" s="57">
        <v>38676</v>
      </c>
      <c r="C192" s="59">
        <v>530000</v>
      </c>
      <c r="D192" s="58">
        <f>VLOOKUP(C192,Comptes!$A$2:$B$60,2,FALSE)</f>
        <v>0</v>
      </c>
      <c r="E192" s="59">
        <v>706220</v>
      </c>
      <c r="F192" s="58">
        <f>VLOOKUP(E192,Comptes!$A$2:$B$60,2,FALSE)</f>
        <v>0</v>
      </c>
      <c r="G192" s="59"/>
      <c r="H192" s="63"/>
      <c r="I192" s="68">
        <v>36</v>
      </c>
      <c r="J192" s="64"/>
    </row>
    <row r="193" spans="1:10" ht="10.5">
      <c r="A193" s="65">
        <v>256036</v>
      </c>
      <c r="B193" s="57">
        <v>38676</v>
      </c>
      <c r="C193" s="59">
        <v>530000</v>
      </c>
      <c r="D193" s="58">
        <f>VLOOKUP(C193,Comptes!$A$2:$B$60,2,FALSE)</f>
        <v>0</v>
      </c>
      <c r="E193" s="59">
        <v>706230</v>
      </c>
      <c r="F193" s="58">
        <f>VLOOKUP(E193,Comptes!$A$2:$B$60,2,FALSE)</f>
        <v>0</v>
      </c>
      <c r="G193" s="59"/>
      <c r="H193" s="63"/>
      <c r="I193" s="68">
        <v>132</v>
      </c>
      <c r="J193" s="64"/>
    </row>
    <row r="194" spans="1:10" ht="10.5">
      <c r="A194" s="65">
        <v>256036</v>
      </c>
      <c r="B194" s="57">
        <v>38676</v>
      </c>
      <c r="C194" s="59">
        <v>530000</v>
      </c>
      <c r="D194" s="58">
        <f>VLOOKUP(C194,Comptes!$A$2:$B$60,2,FALSE)</f>
        <v>0</v>
      </c>
      <c r="E194" s="59">
        <v>708000</v>
      </c>
      <c r="F194" s="58">
        <f>VLOOKUP(E194,Comptes!$A$2:$B$60,2,FALSE)</f>
        <v>0</v>
      </c>
      <c r="G194" s="59"/>
      <c r="H194" s="63"/>
      <c r="I194" s="68">
        <v>8</v>
      </c>
      <c r="J194" s="64"/>
    </row>
    <row r="195" spans="1:10" ht="10.5">
      <c r="A195" s="65">
        <v>256036</v>
      </c>
      <c r="B195" s="57">
        <v>38676</v>
      </c>
      <c r="C195" s="59">
        <v>530000</v>
      </c>
      <c r="D195" s="58">
        <f>VLOOKUP(C195,Comptes!$A$2:$B$60,2,FALSE)</f>
        <v>0</v>
      </c>
      <c r="E195" s="59">
        <v>706230</v>
      </c>
      <c r="F195" s="58">
        <f>VLOOKUP(E195,Comptes!$A$2:$B$60,2,FALSE)</f>
        <v>0</v>
      </c>
      <c r="G195" s="59"/>
      <c r="H195" s="63"/>
      <c r="I195" s="68">
        <v>50</v>
      </c>
      <c r="J195" s="64"/>
    </row>
    <row r="196" spans="1:10" ht="10.5">
      <c r="A196" s="65">
        <v>256036</v>
      </c>
      <c r="B196" s="57">
        <v>38676</v>
      </c>
      <c r="C196" s="59">
        <v>530000</v>
      </c>
      <c r="D196" s="58">
        <f>VLOOKUP(C196,Comptes!$A$2:$B$60,2,FALSE)</f>
        <v>0</v>
      </c>
      <c r="E196" s="59">
        <v>706100</v>
      </c>
      <c r="F196" s="58">
        <f>VLOOKUP(E196,Comptes!$A$2:$B$60,2,FALSE)</f>
        <v>0</v>
      </c>
      <c r="G196" s="59"/>
      <c r="H196" s="63"/>
      <c r="I196" s="68">
        <v>15</v>
      </c>
      <c r="J196" s="64"/>
    </row>
    <row r="197" spans="1:10" ht="10.5">
      <c r="A197" s="65">
        <v>256037</v>
      </c>
      <c r="B197" s="57">
        <v>38680</v>
      </c>
      <c r="C197" s="60">
        <v>606700</v>
      </c>
      <c r="D197" s="58">
        <f>VLOOKUP(C197,Comptes!$A$2:$B$60,2,FALSE)</f>
        <v>0</v>
      </c>
      <c r="E197" s="60">
        <v>530000</v>
      </c>
      <c r="F197" s="58">
        <f>VLOOKUP(E197,Comptes!$A$2:$B$60,2,FALSE)</f>
        <v>0</v>
      </c>
      <c r="G197" s="59"/>
      <c r="H197" s="63"/>
      <c r="I197" s="68">
        <v>8.65</v>
      </c>
      <c r="J197" s="64"/>
    </row>
    <row r="198" spans="1:10" ht="10.5">
      <c r="A198" s="65">
        <v>256037</v>
      </c>
      <c r="B198" s="57">
        <v>38680</v>
      </c>
      <c r="C198" s="60">
        <v>606700</v>
      </c>
      <c r="D198" s="58">
        <f>VLOOKUP(C198,Comptes!$A$2:$B$60,2,FALSE)</f>
        <v>0</v>
      </c>
      <c r="E198" s="60">
        <v>530000</v>
      </c>
      <c r="F198" s="58">
        <f>VLOOKUP(E198,Comptes!$A$2:$B$60,2,FALSE)</f>
        <v>0</v>
      </c>
      <c r="G198" s="59"/>
      <c r="H198" s="63"/>
      <c r="I198" s="68">
        <v>34.36</v>
      </c>
      <c r="J198" s="64"/>
    </row>
    <row r="199" spans="1:10" ht="10.5">
      <c r="A199" s="65">
        <v>256038</v>
      </c>
      <c r="B199" s="57">
        <v>38680</v>
      </c>
      <c r="C199" s="60">
        <v>512000</v>
      </c>
      <c r="D199" s="58">
        <f>VLOOKUP(C199,Comptes!$A$2:$B$60,2,FALSE)</f>
        <v>0</v>
      </c>
      <c r="E199" s="59">
        <v>706210</v>
      </c>
      <c r="F199" s="58">
        <f>VLOOKUP(E199,Comptes!$A$2:$B$60,2,FALSE)</f>
        <v>0</v>
      </c>
      <c r="G199" s="59" t="s">
        <v>170</v>
      </c>
      <c r="H199" s="59" t="s">
        <v>424</v>
      </c>
      <c r="I199" s="68">
        <v>52</v>
      </c>
      <c r="J199" s="64"/>
    </row>
    <row r="200" spans="1:10" ht="10.5">
      <c r="A200" s="65">
        <v>256038</v>
      </c>
      <c r="B200" s="57">
        <v>38680</v>
      </c>
      <c r="C200" s="60">
        <v>512000</v>
      </c>
      <c r="D200" s="58">
        <f>VLOOKUP(C200,Comptes!$A$2:$B$60,2,FALSE)</f>
        <v>0</v>
      </c>
      <c r="E200" s="59">
        <v>706220</v>
      </c>
      <c r="F200" s="58">
        <f>VLOOKUP(E200,Comptes!$A$2:$B$60,2,FALSE)</f>
        <v>0</v>
      </c>
      <c r="G200" s="59" t="s">
        <v>170</v>
      </c>
      <c r="H200" s="59" t="s">
        <v>424</v>
      </c>
      <c r="I200" s="68">
        <v>96</v>
      </c>
      <c r="J200" s="64"/>
    </row>
    <row r="201" spans="1:10" ht="10.5">
      <c r="A201" s="65">
        <v>256038</v>
      </c>
      <c r="B201" s="57">
        <v>38680</v>
      </c>
      <c r="C201" s="60">
        <v>512000</v>
      </c>
      <c r="D201" s="58">
        <f>VLOOKUP(C201,Comptes!$A$2:$B$60,2,FALSE)</f>
        <v>0</v>
      </c>
      <c r="E201" s="59">
        <v>706230</v>
      </c>
      <c r="F201" s="58">
        <f>VLOOKUP(E201,Comptes!$A$2:$B$60,2,FALSE)</f>
        <v>0</v>
      </c>
      <c r="G201" s="59" t="s">
        <v>170</v>
      </c>
      <c r="H201" s="59" t="s">
        <v>424</v>
      </c>
      <c r="I201" s="68">
        <f>312-72</f>
        <v>240</v>
      </c>
      <c r="J201" s="64"/>
    </row>
    <row r="202" spans="1:10" ht="10.5">
      <c r="A202" s="65">
        <v>256038</v>
      </c>
      <c r="B202" s="57">
        <v>38680</v>
      </c>
      <c r="C202" s="60">
        <v>512000</v>
      </c>
      <c r="D202" s="58">
        <f>VLOOKUP(C202,Comptes!$A$2:$B$60,2,FALSE)</f>
        <v>0</v>
      </c>
      <c r="E202" s="59">
        <v>756000</v>
      </c>
      <c r="F202" s="58">
        <f>VLOOKUP(E202,Comptes!$A$2:$B$60,2,FALSE)</f>
        <v>0</v>
      </c>
      <c r="G202" s="59" t="s">
        <v>170</v>
      </c>
      <c r="H202" s="59" t="s">
        <v>424</v>
      </c>
      <c r="I202" s="68">
        <v>64</v>
      </c>
      <c r="J202" s="64"/>
    </row>
    <row r="203" spans="1:10" ht="10.5">
      <c r="A203" s="65">
        <v>256038</v>
      </c>
      <c r="B203" s="57">
        <v>38680</v>
      </c>
      <c r="C203" s="60">
        <v>512000</v>
      </c>
      <c r="D203" s="58">
        <f>VLOOKUP(C203,Comptes!$A$2:$B$60,2,FALSE)</f>
        <v>0</v>
      </c>
      <c r="E203" s="59">
        <v>708000</v>
      </c>
      <c r="F203" s="58">
        <f>VLOOKUP(E203,Comptes!$A$2:$B$60,2,FALSE)</f>
        <v>0</v>
      </c>
      <c r="G203" s="59" t="s">
        <v>170</v>
      </c>
      <c r="H203" s="59" t="s">
        <v>424</v>
      </c>
      <c r="I203" s="68">
        <v>8</v>
      </c>
      <c r="J203" s="64"/>
    </row>
    <row r="204" spans="1:10" ht="10.5">
      <c r="A204" s="47">
        <v>256038</v>
      </c>
      <c r="B204" s="48">
        <v>38680</v>
      </c>
      <c r="C204" s="51">
        <v>511200</v>
      </c>
      <c r="D204" s="58">
        <f>VLOOKUP(C204,Comptes!$A$2:$B$60,2,FALSE)</f>
        <v>0</v>
      </c>
      <c r="E204" s="49">
        <v>512000</v>
      </c>
      <c r="F204" s="58">
        <f>VLOOKUP(E204,Comptes!$A$2:$B$60,2,FALSE)</f>
        <v>0</v>
      </c>
      <c r="G204" s="49" t="s">
        <v>170</v>
      </c>
      <c r="H204" s="59" t="s">
        <v>424</v>
      </c>
      <c r="I204" s="68">
        <v>57</v>
      </c>
      <c r="J204" s="64"/>
    </row>
    <row r="205" spans="1:10" ht="10.5">
      <c r="A205" s="65">
        <v>256038</v>
      </c>
      <c r="B205" s="57">
        <v>38680</v>
      </c>
      <c r="C205" s="60">
        <v>512000</v>
      </c>
      <c r="D205" s="58">
        <f>VLOOKUP(C205,Comptes!$A$2:$B$60,2,FALSE)</f>
        <v>0</v>
      </c>
      <c r="E205" s="59">
        <v>706420</v>
      </c>
      <c r="F205" s="58">
        <f>VLOOKUP(E205,Comptes!$A$2:$B$60,2,FALSE)</f>
        <v>0</v>
      </c>
      <c r="G205" s="36" t="s">
        <v>170</v>
      </c>
      <c r="H205" s="59" t="s">
        <v>424</v>
      </c>
      <c r="I205" s="68">
        <v>185</v>
      </c>
      <c r="J205" s="64"/>
    </row>
    <row r="206" spans="1:10" ht="10.5">
      <c r="A206" s="65">
        <v>256038</v>
      </c>
      <c r="B206" s="57">
        <v>38680</v>
      </c>
      <c r="C206" s="60">
        <v>512000</v>
      </c>
      <c r="D206" s="58">
        <f>VLOOKUP(C206,Comptes!$A$2:$B$60,2,FALSE)</f>
        <v>0</v>
      </c>
      <c r="E206" s="59">
        <v>706210</v>
      </c>
      <c r="F206" s="58">
        <f>VLOOKUP(E206,Comptes!$A$2:$B$60,2,FALSE)</f>
        <v>0</v>
      </c>
      <c r="G206" s="36" t="s">
        <v>170</v>
      </c>
      <c r="H206" s="59" t="s">
        <v>424</v>
      </c>
      <c r="I206" s="68">
        <v>159</v>
      </c>
      <c r="J206" s="64"/>
    </row>
    <row r="207" spans="1:10" ht="10.5">
      <c r="A207" s="65">
        <v>256038</v>
      </c>
      <c r="B207" s="57">
        <v>38680</v>
      </c>
      <c r="C207" s="60">
        <v>512000</v>
      </c>
      <c r="D207" s="58">
        <f>VLOOKUP(C207,Comptes!$A$2:$B$60,2,FALSE)</f>
        <v>0</v>
      </c>
      <c r="E207" s="59">
        <v>706220</v>
      </c>
      <c r="F207" s="58">
        <f>VLOOKUP(E207,Comptes!$A$2:$B$60,2,FALSE)</f>
        <v>0</v>
      </c>
      <c r="G207" s="36" t="s">
        <v>170</v>
      </c>
      <c r="H207" s="59" t="s">
        <v>424</v>
      </c>
      <c r="I207" s="68">
        <v>90</v>
      </c>
      <c r="J207" s="64"/>
    </row>
    <row r="208" spans="1:10" ht="10.5">
      <c r="A208" s="65">
        <v>256038</v>
      </c>
      <c r="B208" s="57">
        <v>38680</v>
      </c>
      <c r="C208" s="60">
        <v>530000</v>
      </c>
      <c r="D208" s="58">
        <f>VLOOKUP(C208,Comptes!$A$2:$B$60,2,FALSE)</f>
        <v>0</v>
      </c>
      <c r="E208" s="59">
        <v>706210</v>
      </c>
      <c r="F208" s="58">
        <f>VLOOKUP(E208,Comptes!$A$2:$B$60,2,FALSE)</f>
        <v>0</v>
      </c>
      <c r="G208" s="59"/>
      <c r="H208" s="63"/>
      <c r="I208" s="68">
        <v>15</v>
      </c>
      <c r="J208" s="64"/>
    </row>
    <row r="209" spans="1:10" ht="10.5">
      <c r="A209" s="65">
        <v>256038</v>
      </c>
      <c r="B209" s="57">
        <v>38680</v>
      </c>
      <c r="C209" s="60">
        <v>530000</v>
      </c>
      <c r="D209" s="58">
        <f>VLOOKUP(C209,Comptes!$A$2:$B$60,2,FALSE)</f>
        <v>0</v>
      </c>
      <c r="E209" s="59">
        <v>706220</v>
      </c>
      <c r="F209" s="58">
        <f>VLOOKUP(E209,Comptes!$A$2:$B$60,2,FALSE)</f>
        <v>0</v>
      </c>
      <c r="G209" s="59"/>
      <c r="H209" s="63"/>
      <c r="I209" s="68">
        <v>12</v>
      </c>
      <c r="J209" s="64"/>
    </row>
    <row r="210" spans="1:10" ht="10.5">
      <c r="A210" s="65">
        <v>256038</v>
      </c>
      <c r="B210" s="57">
        <v>38680</v>
      </c>
      <c r="C210" s="60">
        <v>530000</v>
      </c>
      <c r="D210" s="58">
        <f>VLOOKUP(C210,Comptes!$A$2:$B$60,2,FALSE)</f>
        <v>0</v>
      </c>
      <c r="E210" s="59">
        <v>706230</v>
      </c>
      <c r="F210" s="58">
        <f>VLOOKUP(E210,Comptes!$A$2:$B$60,2,FALSE)</f>
        <v>0</v>
      </c>
      <c r="G210" s="59"/>
      <c r="H210" s="63"/>
      <c r="I210" s="68">
        <f>45+72</f>
        <v>117</v>
      </c>
      <c r="J210" s="64"/>
    </row>
    <row r="211" spans="1:10" ht="10.5">
      <c r="A211" s="65">
        <v>256038</v>
      </c>
      <c r="B211" s="57">
        <v>38680</v>
      </c>
      <c r="C211" s="60">
        <v>530000</v>
      </c>
      <c r="D211" s="58">
        <f>VLOOKUP(C211,Comptes!$A$2:$B$60,2,FALSE)</f>
        <v>0</v>
      </c>
      <c r="E211" s="59">
        <v>756000</v>
      </c>
      <c r="F211" s="58">
        <f>VLOOKUP(E211,Comptes!$A$2:$B$60,2,FALSE)</f>
        <v>0</v>
      </c>
      <c r="G211" s="59"/>
      <c r="H211" s="63"/>
      <c r="I211" s="68">
        <v>32</v>
      </c>
      <c r="J211" s="64"/>
    </row>
    <row r="212" spans="1:10" ht="10.5">
      <c r="A212" s="65">
        <v>256038</v>
      </c>
      <c r="B212" s="57">
        <v>38680</v>
      </c>
      <c r="C212" s="60">
        <v>530000</v>
      </c>
      <c r="D212" s="58">
        <f>VLOOKUP(C212,Comptes!$A$2:$B$60,2,FALSE)</f>
        <v>0</v>
      </c>
      <c r="E212" s="59">
        <v>708000</v>
      </c>
      <c r="F212" s="58">
        <f>VLOOKUP(E212,Comptes!$A$2:$B$60,2,FALSE)</f>
        <v>0</v>
      </c>
      <c r="G212" s="59"/>
      <c r="H212" s="63"/>
      <c r="I212" s="68">
        <v>8</v>
      </c>
      <c r="J212" s="64"/>
    </row>
    <row r="213" spans="1:10" ht="10.5">
      <c r="A213" s="65">
        <v>256038</v>
      </c>
      <c r="B213" s="57">
        <v>38680</v>
      </c>
      <c r="C213" s="60">
        <v>530000</v>
      </c>
      <c r="D213" s="58">
        <f>VLOOKUP(C213,Comptes!$A$2:$B$60,2,FALSE)</f>
        <v>0</v>
      </c>
      <c r="E213" s="59">
        <v>706210</v>
      </c>
      <c r="F213" s="58">
        <f>VLOOKUP(E213,Comptes!$A$2:$B$60,2,FALSE)</f>
        <v>0</v>
      </c>
      <c r="G213" s="59"/>
      <c r="H213" s="63"/>
      <c r="I213" s="68">
        <v>66</v>
      </c>
      <c r="J213" s="64"/>
    </row>
    <row r="214" spans="1:10" ht="10.5">
      <c r="A214" s="65">
        <v>256038</v>
      </c>
      <c r="B214" s="57">
        <v>38680</v>
      </c>
      <c r="C214" s="60">
        <v>530000</v>
      </c>
      <c r="D214" s="58">
        <f>VLOOKUP(C214,Comptes!$A$2:$B$60,2,FALSE)</f>
        <v>0</v>
      </c>
      <c r="E214" s="59">
        <v>706220</v>
      </c>
      <c r="F214" s="58">
        <f>VLOOKUP(E214,Comptes!$A$2:$B$60,2,FALSE)</f>
        <v>0</v>
      </c>
      <c r="G214" s="59"/>
      <c r="H214" s="63"/>
      <c r="I214" s="68">
        <v>30</v>
      </c>
      <c r="J214" s="64"/>
    </row>
    <row r="215" spans="1:10" ht="10.5">
      <c r="A215" s="65">
        <v>256038</v>
      </c>
      <c r="B215" s="57">
        <v>38680</v>
      </c>
      <c r="C215" s="60">
        <v>512000</v>
      </c>
      <c r="D215" s="58">
        <f>VLOOKUP(C215,Comptes!$A$2:$B$60,2,FALSE)</f>
        <v>0</v>
      </c>
      <c r="E215" s="59">
        <v>530000</v>
      </c>
      <c r="F215" s="58">
        <f>VLOOKUP(E215,Comptes!$A$2:$B$60,2,FALSE)</f>
        <v>0</v>
      </c>
      <c r="G215" s="59"/>
      <c r="H215" s="59" t="s">
        <v>424</v>
      </c>
      <c r="I215" s="68">
        <v>700</v>
      </c>
      <c r="J215" s="64"/>
    </row>
    <row r="216" spans="1:10" ht="10.5">
      <c r="A216" s="65">
        <v>256039</v>
      </c>
      <c r="B216" s="57">
        <v>38680</v>
      </c>
      <c r="C216" s="60">
        <v>512000</v>
      </c>
      <c r="D216" s="58">
        <f>VLOOKUP(C216,Comptes!$A$2:$B$60,2,FALSE)</f>
        <v>0</v>
      </c>
      <c r="E216" s="60">
        <v>706100</v>
      </c>
      <c r="F216" s="58">
        <f>VLOOKUP(E216,Comptes!$A$2:$B$60,2,FALSE)</f>
        <v>0</v>
      </c>
      <c r="G216" s="59" t="s">
        <v>170</v>
      </c>
      <c r="H216" s="59" t="s">
        <v>424</v>
      </c>
      <c r="I216" s="68">
        <v>240</v>
      </c>
      <c r="J216" s="64"/>
    </row>
    <row r="217" spans="1:10" ht="10.5">
      <c r="A217" s="65">
        <v>256039</v>
      </c>
      <c r="B217" s="57">
        <v>38680</v>
      </c>
      <c r="C217" s="60">
        <v>512000</v>
      </c>
      <c r="D217" s="58">
        <f>VLOOKUP(C217,Comptes!$A$2:$B$60,2,FALSE)</f>
        <v>0</v>
      </c>
      <c r="E217" s="60">
        <v>706420</v>
      </c>
      <c r="F217" s="58">
        <f>VLOOKUP(E217,Comptes!$A$2:$B$60,2,FALSE)</f>
        <v>0</v>
      </c>
      <c r="G217" s="59" t="s">
        <v>170</v>
      </c>
      <c r="H217" s="59" t="s">
        <v>424</v>
      </c>
      <c r="I217" s="68">
        <v>450</v>
      </c>
      <c r="J217" s="64"/>
    </row>
    <row r="218" spans="1:10" ht="10.5">
      <c r="A218" s="65">
        <v>256039</v>
      </c>
      <c r="B218" s="57">
        <v>38680</v>
      </c>
      <c r="C218" s="60">
        <v>512000</v>
      </c>
      <c r="D218" s="58">
        <f>VLOOKUP(C218,Comptes!$A$2:$B$60,2,FALSE)</f>
        <v>0</v>
      </c>
      <c r="E218" s="60">
        <v>756000</v>
      </c>
      <c r="F218" s="58">
        <f>VLOOKUP(E218,Comptes!$A$2:$B$60,2,FALSE)</f>
        <v>0</v>
      </c>
      <c r="G218" s="59" t="s">
        <v>170</v>
      </c>
      <c r="H218" s="59" t="s">
        <v>424</v>
      </c>
      <c r="I218" s="68">
        <v>64</v>
      </c>
      <c r="J218" s="64"/>
    </row>
    <row r="219" spans="1:10" ht="10.5">
      <c r="A219" s="65">
        <v>256039</v>
      </c>
      <c r="B219" s="57">
        <v>38680</v>
      </c>
      <c r="C219" s="60">
        <v>512000</v>
      </c>
      <c r="D219" s="58">
        <f>VLOOKUP(C219,Comptes!$A$2:$B$60,2,FALSE)</f>
        <v>0</v>
      </c>
      <c r="E219" s="60">
        <v>708000</v>
      </c>
      <c r="F219" s="58">
        <f>VLOOKUP(E219,Comptes!$A$2:$B$60,2,FALSE)</f>
        <v>0</v>
      </c>
      <c r="G219" s="59" t="s">
        <v>170</v>
      </c>
      <c r="H219" s="59" t="s">
        <v>424</v>
      </c>
      <c r="I219" s="68">
        <v>8</v>
      </c>
      <c r="J219" s="64"/>
    </row>
    <row r="220" spans="1:10" ht="10.5">
      <c r="A220" s="65">
        <v>256039</v>
      </c>
      <c r="B220" s="57">
        <v>38680</v>
      </c>
      <c r="C220" s="60">
        <v>512000</v>
      </c>
      <c r="D220" s="58">
        <f>VLOOKUP(C220,Comptes!$A$2:$B$60,2,FALSE)</f>
        <v>0</v>
      </c>
      <c r="E220" s="60">
        <v>706100</v>
      </c>
      <c r="F220" s="58">
        <f>VLOOKUP(E220,Comptes!$A$2:$B$60,2,FALSE)</f>
        <v>0</v>
      </c>
      <c r="G220" s="59" t="s">
        <v>164</v>
      </c>
      <c r="H220" s="59" t="s">
        <v>424</v>
      </c>
      <c r="I220" s="68">
        <v>325</v>
      </c>
      <c r="J220" s="64"/>
    </row>
    <row r="221" spans="1:10" ht="10.5">
      <c r="A221" s="65">
        <v>256039</v>
      </c>
      <c r="B221" s="57">
        <v>38680</v>
      </c>
      <c r="C221" s="60">
        <v>512000</v>
      </c>
      <c r="D221" s="58">
        <f>VLOOKUP(C221,Comptes!$A$2:$B$60,2,FALSE)</f>
        <v>0</v>
      </c>
      <c r="E221" s="60">
        <v>706420</v>
      </c>
      <c r="F221" s="58">
        <f>VLOOKUP(E221,Comptes!$A$2:$B$60,2,FALSE)</f>
        <v>0</v>
      </c>
      <c r="G221" s="59" t="s">
        <v>164</v>
      </c>
      <c r="H221" s="59" t="s">
        <v>424</v>
      </c>
      <c r="I221" s="68">
        <v>220</v>
      </c>
      <c r="J221" s="64"/>
    </row>
    <row r="222" spans="1:10" ht="10.5">
      <c r="A222" s="65">
        <v>256040</v>
      </c>
      <c r="B222" s="57">
        <v>38688</v>
      </c>
      <c r="C222" s="60">
        <v>606700</v>
      </c>
      <c r="D222" s="58">
        <f>VLOOKUP(C222,Comptes!$A$2:$B$60,2,FALSE)</f>
        <v>0</v>
      </c>
      <c r="E222" s="59">
        <v>530000</v>
      </c>
      <c r="F222" s="58">
        <f>VLOOKUP(E222,Comptes!$A$2:$B$60,2,FALSE)</f>
        <v>0</v>
      </c>
      <c r="G222" s="59"/>
      <c r="H222" s="63"/>
      <c r="I222" s="68">
        <f>45.26+10.4</f>
        <v>55.66</v>
      </c>
      <c r="J222" s="64"/>
    </row>
    <row r="223" spans="1:10" ht="10.5">
      <c r="A223" s="65">
        <v>256040</v>
      </c>
      <c r="B223" s="57">
        <v>38688</v>
      </c>
      <c r="C223" s="60">
        <v>606700</v>
      </c>
      <c r="D223" s="58">
        <f>VLOOKUP(C223,Comptes!$A$2:$B$60,2,FALSE)</f>
        <v>0</v>
      </c>
      <c r="E223" s="59">
        <v>530000</v>
      </c>
      <c r="F223" s="58">
        <f>VLOOKUP(E223,Comptes!$A$2:$B$60,2,FALSE)</f>
        <v>0</v>
      </c>
      <c r="G223" s="59"/>
      <c r="H223" s="63"/>
      <c r="I223" s="68">
        <v>192.12</v>
      </c>
      <c r="J223" s="64"/>
    </row>
    <row r="224" spans="1:10" ht="10.5">
      <c r="A224" s="65">
        <v>256040</v>
      </c>
      <c r="B224" s="57">
        <v>38688</v>
      </c>
      <c r="C224" s="60">
        <v>606700</v>
      </c>
      <c r="D224" s="58">
        <f>VLOOKUP(C224,Comptes!$A$2:$B$60,2,FALSE)</f>
        <v>0</v>
      </c>
      <c r="E224" s="59">
        <v>512000</v>
      </c>
      <c r="F224" s="58">
        <f>VLOOKUP(E224,Comptes!$A$2:$B$60,2,FALSE)</f>
        <v>0</v>
      </c>
      <c r="G224" s="36" t="s">
        <v>426</v>
      </c>
      <c r="H224" s="59" t="s">
        <v>427</v>
      </c>
      <c r="I224" s="68">
        <v>135.14</v>
      </c>
      <c r="J224" s="64"/>
    </row>
    <row r="225" spans="1:10" ht="10.5">
      <c r="A225" s="65">
        <v>256040</v>
      </c>
      <c r="B225" s="57">
        <v>38688</v>
      </c>
      <c r="C225" s="60">
        <v>641000</v>
      </c>
      <c r="D225" s="58">
        <f>VLOOKUP(C225,Comptes!$A$2:$B$60,2,FALSE)</f>
        <v>0</v>
      </c>
      <c r="E225" s="59">
        <v>512000</v>
      </c>
      <c r="F225" s="58">
        <f>VLOOKUP(E225,Comptes!$A$2:$B$60,2,FALSE)</f>
        <v>0</v>
      </c>
      <c r="G225" s="36" t="s">
        <v>428</v>
      </c>
      <c r="H225" s="59" t="s">
        <v>429</v>
      </c>
      <c r="I225" s="68">
        <v>1336.87</v>
      </c>
      <c r="J225" s="66"/>
    </row>
    <row r="226" spans="1:10" ht="10.5">
      <c r="A226" s="65">
        <v>256040</v>
      </c>
      <c r="B226" s="57">
        <v>38688</v>
      </c>
      <c r="C226" s="60">
        <v>625000</v>
      </c>
      <c r="D226" s="58">
        <f>VLOOKUP(C226,Comptes!$A$2:$B$60,2,FALSE)</f>
        <v>0</v>
      </c>
      <c r="E226" s="59">
        <v>512000</v>
      </c>
      <c r="F226" s="58">
        <f>VLOOKUP(E226,Comptes!$A$2:$B$60,2,FALSE)</f>
        <v>0</v>
      </c>
      <c r="G226" s="36" t="s">
        <v>430</v>
      </c>
      <c r="H226" s="59" t="s">
        <v>429</v>
      </c>
      <c r="I226" s="68">
        <v>425</v>
      </c>
      <c r="J226" s="64"/>
    </row>
    <row r="227" spans="1:10" ht="10.5">
      <c r="A227" s="65">
        <v>256040</v>
      </c>
      <c r="B227" s="57">
        <v>38688</v>
      </c>
      <c r="C227" s="60">
        <v>622600</v>
      </c>
      <c r="D227" s="58">
        <f>VLOOKUP(C227,Comptes!$A$2:$B$60,2,FALSE)</f>
        <v>0</v>
      </c>
      <c r="E227" s="59">
        <v>512000</v>
      </c>
      <c r="F227" s="58">
        <f>VLOOKUP(E227,Comptes!$A$2:$B$60,2,FALSE)</f>
        <v>0</v>
      </c>
      <c r="G227" s="36" t="s">
        <v>431</v>
      </c>
      <c r="H227" s="59" t="s">
        <v>429</v>
      </c>
      <c r="I227" s="68">
        <v>244</v>
      </c>
      <c r="J227" s="64"/>
    </row>
    <row r="228" spans="1:10" ht="10.5">
      <c r="A228" s="65">
        <v>256041</v>
      </c>
      <c r="B228" s="57">
        <v>38692</v>
      </c>
      <c r="C228" s="60">
        <v>606400</v>
      </c>
      <c r="D228" s="58">
        <f>VLOOKUP(C228,Comptes!$A$2:$B$60,2,FALSE)</f>
        <v>0</v>
      </c>
      <c r="E228" s="59">
        <v>512000</v>
      </c>
      <c r="F228" s="58">
        <f>VLOOKUP(E228,Comptes!$A$2:$B$60,2,FALSE)</f>
        <v>0</v>
      </c>
      <c r="G228" s="36" t="s">
        <v>432</v>
      </c>
      <c r="H228" s="59" t="s">
        <v>429</v>
      </c>
      <c r="I228" s="68">
        <v>113.82</v>
      </c>
      <c r="J228" s="64"/>
    </row>
    <row r="229" spans="1:10" ht="10.5">
      <c r="A229" s="65">
        <v>256041</v>
      </c>
      <c r="B229" s="57">
        <v>38692</v>
      </c>
      <c r="C229" s="60">
        <v>613100</v>
      </c>
      <c r="D229" s="58">
        <f>VLOOKUP(C229,Comptes!$A$2:$B$60,2,FALSE)</f>
        <v>0</v>
      </c>
      <c r="E229" s="59">
        <v>512000</v>
      </c>
      <c r="F229" s="58">
        <f>VLOOKUP(E229,Comptes!$A$2:$B$60,2,FALSE)</f>
        <v>0</v>
      </c>
      <c r="G229" s="36" t="s">
        <v>433</v>
      </c>
      <c r="H229" s="59" t="s">
        <v>434</v>
      </c>
      <c r="I229" s="68">
        <v>1220</v>
      </c>
      <c r="J229" s="66"/>
    </row>
    <row r="230" spans="1:10" ht="10.5">
      <c r="A230" s="65">
        <v>256041</v>
      </c>
      <c r="B230" s="57">
        <v>38692</v>
      </c>
      <c r="C230" s="60">
        <v>625000</v>
      </c>
      <c r="D230" s="58">
        <f>VLOOKUP(C230,Comptes!$A$2:$B$60,2,FALSE)</f>
        <v>0</v>
      </c>
      <c r="E230" s="59">
        <v>512000</v>
      </c>
      <c r="F230" s="58">
        <f>VLOOKUP(E230,Comptes!$A$2:$B$60,2,FALSE)</f>
        <v>0</v>
      </c>
      <c r="G230" s="36" t="s">
        <v>433</v>
      </c>
      <c r="H230" s="59" t="s">
        <v>434</v>
      </c>
      <c r="I230" s="68">
        <v>160</v>
      </c>
      <c r="J230" s="66"/>
    </row>
    <row r="231" spans="1:10" ht="10.5">
      <c r="A231" s="65">
        <v>256042</v>
      </c>
      <c r="B231" s="57">
        <v>38692</v>
      </c>
      <c r="C231" s="60">
        <v>512000</v>
      </c>
      <c r="D231" s="58">
        <f>VLOOKUP(C231,Comptes!$A$2:$B$60,2,FALSE)</f>
        <v>0</v>
      </c>
      <c r="E231" s="60">
        <v>706210</v>
      </c>
      <c r="F231" s="58">
        <f>VLOOKUP(E231,Comptes!$A$2:$B$60,2,FALSE)</f>
        <v>0</v>
      </c>
      <c r="G231" s="59" t="s">
        <v>170</v>
      </c>
      <c r="H231" s="59" t="s">
        <v>429</v>
      </c>
      <c r="I231" s="68">
        <v>342</v>
      </c>
      <c r="J231" s="64"/>
    </row>
    <row r="232" spans="1:10" ht="10.5">
      <c r="A232" s="65">
        <v>256042</v>
      </c>
      <c r="B232" s="57">
        <v>38692</v>
      </c>
      <c r="C232" s="60">
        <v>512000</v>
      </c>
      <c r="D232" s="58">
        <f>VLOOKUP(C232,Comptes!$A$2:$B$60,2,FALSE)</f>
        <v>0</v>
      </c>
      <c r="E232" s="60">
        <v>706220</v>
      </c>
      <c r="F232" s="58">
        <f>VLOOKUP(E232,Comptes!$A$2:$B$60,2,FALSE)</f>
        <v>0</v>
      </c>
      <c r="G232" s="59" t="s">
        <v>170</v>
      </c>
      <c r="H232" s="59" t="s">
        <v>429</v>
      </c>
      <c r="I232" s="68">
        <v>330</v>
      </c>
      <c r="J232" s="174"/>
    </row>
    <row r="233" spans="1:10" ht="10.5">
      <c r="A233" s="65">
        <v>256042</v>
      </c>
      <c r="B233" s="57">
        <v>38692</v>
      </c>
      <c r="C233" s="60">
        <v>512000</v>
      </c>
      <c r="D233" s="58">
        <f>VLOOKUP(C233,Comptes!$A$2:$B$60,2,FALSE)</f>
        <v>0</v>
      </c>
      <c r="E233" s="60">
        <v>706230</v>
      </c>
      <c r="F233" s="58">
        <f>VLOOKUP(E233,Comptes!$A$2:$B$60,2,FALSE)</f>
        <v>0</v>
      </c>
      <c r="G233" s="59" t="s">
        <v>170</v>
      </c>
      <c r="H233" s="59" t="s">
        <v>429</v>
      </c>
      <c r="I233" s="68">
        <v>1100</v>
      </c>
      <c r="J233" s="64"/>
    </row>
    <row r="234" spans="1:10" ht="10.5">
      <c r="A234" s="65">
        <v>256042</v>
      </c>
      <c r="B234" s="57">
        <v>38692</v>
      </c>
      <c r="C234" s="60">
        <v>512000</v>
      </c>
      <c r="D234" s="58">
        <f>VLOOKUP(C234,Comptes!$A$2:$B$60,2,FALSE)</f>
        <v>0</v>
      </c>
      <c r="E234" s="60">
        <v>756000</v>
      </c>
      <c r="F234" s="58">
        <f>VLOOKUP(E234,Comptes!$A$2:$B$60,2,FALSE)</f>
        <v>0</v>
      </c>
      <c r="G234" s="59" t="s">
        <v>170</v>
      </c>
      <c r="H234" s="59" t="s">
        <v>429</v>
      </c>
      <c r="I234" s="68">
        <v>288</v>
      </c>
      <c r="J234" s="64"/>
    </row>
    <row r="235" spans="1:10" ht="10.5">
      <c r="A235" s="65">
        <v>256042</v>
      </c>
      <c r="B235" s="57">
        <v>38692</v>
      </c>
      <c r="C235" s="60">
        <v>512000</v>
      </c>
      <c r="D235" s="58">
        <f>VLOOKUP(C235,Comptes!$A$2:$B$60,2,FALSE)</f>
        <v>0</v>
      </c>
      <c r="E235" s="60">
        <v>708000</v>
      </c>
      <c r="F235" s="58">
        <f>VLOOKUP(E235,Comptes!$A$2:$B$60,2,FALSE)</f>
        <v>0</v>
      </c>
      <c r="G235" s="59" t="s">
        <v>170</v>
      </c>
      <c r="H235" s="59" t="s">
        <v>429</v>
      </c>
      <c r="I235" s="68">
        <v>24</v>
      </c>
      <c r="J235" s="64"/>
    </row>
    <row r="236" spans="1:10" ht="10.5">
      <c r="A236" s="65">
        <v>256042</v>
      </c>
      <c r="B236" s="57">
        <v>38692</v>
      </c>
      <c r="C236" s="60">
        <v>512000</v>
      </c>
      <c r="D236" s="58">
        <f>VLOOKUP(C236,Comptes!$A$2:$B$60,2,FALSE)</f>
        <v>0</v>
      </c>
      <c r="E236" s="60">
        <v>754000</v>
      </c>
      <c r="F236" s="58">
        <f>VLOOKUP(E236,Comptes!$A$2:$B$60,2,FALSE)</f>
        <v>0</v>
      </c>
      <c r="G236" s="59" t="s">
        <v>170</v>
      </c>
      <c r="H236" s="59" t="s">
        <v>429</v>
      </c>
      <c r="I236" s="68">
        <v>200</v>
      </c>
      <c r="J236" s="64"/>
    </row>
    <row r="237" spans="1:10" ht="10.5">
      <c r="A237" s="47">
        <v>256042</v>
      </c>
      <c r="B237" s="48">
        <v>38692</v>
      </c>
      <c r="C237" s="51">
        <v>511200</v>
      </c>
      <c r="D237" s="58">
        <f>VLOOKUP(C237,Comptes!$A$2:$B$60,2,FALSE)</f>
        <v>0</v>
      </c>
      <c r="E237" s="51">
        <v>512000</v>
      </c>
      <c r="F237" s="58">
        <f>VLOOKUP(E237,Comptes!$A$2:$B$60,2,FALSE)</f>
        <v>0</v>
      </c>
      <c r="G237" s="49" t="s">
        <v>170</v>
      </c>
      <c r="H237" s="59" t="s">
        <v>429</v>
      </c>
      <c r="I237" s="68">
        <v>180</v>
      </c>
      <c r="J237" s="64"/>
    </row>
    <row r="238" spans="1:10" ht="10.5">
      <c r="A238" s="47">
        <v>256042</v>
      </c>
      <c r="B238" s="48">
        <v>38692</v>
      </c>
      <c r="C238" s="51">
        <v>511200</v>
      </c>
      <c r="D238" s="58">
        <f>VLOOKUP(C238,Comptes!$A$2:$B$60,2,FALSE)</f>
        <v>0</v>
      </c>
      <c r="E238" s="51">
        <v>512000</v>
      </c>
      <c r="F238" s="58">
        <f>VLOOKUP(E238,Comptes!$A$2:$B$60,2,FALSE)</f>
        <v>0</v>
      </c>
      <c r="G238" s="49" t="s">
        <v>170</v>
      </c>
      <c r="H238" s="59" t="s">
        <v>429</v>
      </c>
      <c r="I238" s="68">
        <v>42</v>
      </c>
      <c r="J238" s="64"/>
    </row>
    <row r="239" spans="1:10" ht="10.5">
      <c r="A239" s="47">
        <v>256042</v>
      </c>
      <c r="B239" s="48">
        <v>38692</v>
      </c>
      <c r="C239" s="51">
        <v>511200</v>
      </c>
      <c r="D239" s="58">
        <f>VLOOKUP(C239,Comptes!$A$2:$B$60,2,FALSE)</f>
        <v>0</v>
      </c>
      <c r="E239" s="51">
        <v>512000</v>
      </c>
      <c r="F239" s="58">
        <f>VLOOKUP(E239,Comptes!$A$2:$B$60,2,FALSE)</f>
        <v>0</v>
      </c>
      <c r="G239" s="49" t="s">
        <v>170</v>
      </c>
      <c r="H239" s="59" t="s">
        <v>429</v>
      </c>
      <c r="I239" s="68">
        <v>42</v>
      </c>
      <c r="J239" s="64"/>
    </row>
    <row r="240" spans="1:10" ht="10.5">
      <c r="A240" s="65">
        <v>256042</v>
      </c>
      <c r="B240" s="57">
        <v>38692</v>
      </c>
      <c r="C240" s="60">
        <v>512000</v>
      </c>
      <c r="D240" s="58">
        <f>VLOOKUP(C240,Comptes!$A$2:$B$60,2,FALSE)</f>
        <v>0</v>
      </c>
      <c r="E240" s="60">
        <v>756000</v>
      </c>
      <c r="F240" s="58">
        <f>VLOOKUP(E240,Comptes!$A$2:$B$60,2,FALSE)</f>
        <v>0</v>
      </c>
      <c r="G240" s="59" t="s">
        <v>170</v>
      </c>
      <c r="H240" s="59" t="s">
        <v>429</v>
      </c>
      <c r="I240" s="68">
        <v>105</v>
      </c>
      <c r="J240" s="64"/>
    </row>
    <row r="241" spans="1:10" ht="10.5">
      <c r="A241" s="65">
        <v>256042</v>
      </c>
      <c r="B241" s="57">
        <v>38692</v>
      </c>
      <c r="C241" s="60">
        <v>512000</v>
      </c>
      <c r="D241" s="58">
        <f>VLOOKUP(C241,Comptes!$A$2:$B$60,2,FALSE)</f>
        <v>0</v>
      </c>
      <c r="E241" s="60">
        <v>708000</v>
      </c>
      <c r="F241" s="58">
        <f>VLOOKUP(E241,Comptes!$A$2:$B$60,2,FALSE)</f>
        <v>0</v>
      </c>
      <c r="G241" s="59" t="s">
        <v>170</v>
      </c>
      <c r="H241" s="59" t="s">
        <v>429</v>
      </c>
      <c r="I241" s="68">
        <v>35</v>
      </c>
      <c r="J241" s="64"/>
    </row>
    <row r="242" spans="1:10" ht="10.5">
      <c r="A242" s="65">
        <v>256042</v>
      </c>
      <c r="B242" s="57">
        <v>38692</v>
      </c>
      <c r="C242" s="60">
        <v>512000</v>
      </c>
      <c r="D242" s="58">
        <f>VLOOKUP(C242,Comptes!$A$2:$B$60,2,FALSE)</f>
        <v>0</v>
      </c>
      <c r="E242" s="60">
        <v>754000</v>
      </c>
      <c r="F242" s="58">
        <f>VLOOKUP(E242,Comptes!$A$2:$B$60,2,FALSE)</f>
        <v>0</v>
      </c>
      <c r="G242" s="59" t="s">
        <v>170</v>
      </c>
      <c r="H242" s="59" t="s">
        <v>429</v>
      </c>
      <c r="I242" s="68">
        <v>1500</v>
      </c>
      <c r="J242" s="64"/>
    </row>
    <row r="243" spans="1:10" ht="10.5">
      <c r="A243" s="47">
        <v>256042</v>
      </c>
      <c r="B243" s="48">
        <v>38692</v>
      </c>
      <c r="C243" s="51">
        <v>512000</v>
      </c>
      <c r="D243" s="58">
        <f>VLOOKUP(C243,Comptes!$A$2:$B$60,2,FALSE)</f>
        <v>0</v>
      </c>
      <c r="E243" s="51">
        <v>511200</v>
      </c>
      <c r="F243" s="58">
        <f>VLOOKUP(E243,Comptes!$A$2:$B$60,2,FALSE)</f>
        <v>0</v>
      </c>
      <c r="G243" s="49" t="s">
        <v>170</v>
      </c>
      <c r="H243" s="59" t="s">
        <v>429</v>
      </c>
      <c r="I243" s="68">
        <v>157</v>
      </c>
      <c r="J243" s="64"/>
    </row>
    <row r="244" spans="1:10" ht="10.5">
      <c r="A244" s="65">
        <v>256042</v>
      </c>
      <c r="B244" s="57">
        <v>38692</v>
      </c>
      <c r="C244" s="60">
        <v>512000</v>
      </c>
      <c r="D244" s="58">
        <f>VLOOKUP(C244,Comptes!$A$2:$B$60,2,FALSE)</f>
        <v>0</v>
      </c>
      <c r="E244" s="60">
        <v>706100</v>
      </c>
      <c r="F244" s="58">
        <f>VLOOKUP(E244,Comptes!$A$2:$B$60,2,FALSE)</f>
        <v>0</v>
      </c>
      <c r="G244" s="59" t="s">
        <v>170</v>
      </c>
      <c r="H244" s="59" t="s">
        <v>429</v>
      </c>
      <c r="I244" s="68">
        <v>50</v>
      </c>
      <c r="J244" s="64"/>
    </row>
    <row r="245" spans="1:10" ht="10.5">
      <c r="A245" s="47">
        <v>256042</v>
      </c>
      <c r="B245" s="48">
        <v>38692</v>
      </c>
      <c r="C245" s="51">
        <v>512000</v>
      </c>
      <c r="D245" s="58">
        <f>VLOOKUP(C245,Comptes!$A$2:$B$60,2,FALSE)</f>
        <v>0</v>
      </c>
      <c r="E245" s="51">
        <v>511200</v>
      </c>
      <c r="F245" s="58">
        <f>VLOOKUP(E245,Comptes!$A$2:$B$60,2,FALSE)</f>
        <v>0</v>
      </c>
      <c r="G245" s="49" t="s">
        <v>170</v>
      </c>
      <c r="H245" s="59" t="s">
        <v>429</v>
      </c>
      <c r="I245" s="68">
        <v>57</v>
      </c>
      <c r="J245" s="64"/>
    </row>
    <row r="246" spans="1:10" ht="10.5">
      <c r="A246" s="47">
        <v>256042</v>
      </c>
      <c r="B246" s="48">
        <v>38692</v>
      </c>
      <c r="C246" s="51">
        <v>512000</v>
      </c>
      <c r="D246" s="58">
        <f>VLOOKUP(C246,Comptes!$A$2:$B$60,2,FALSE)</f>
        <v>0</v>
      </c>
      <c r="E246" s="51">
        <v>511200</v>
      </c>
      <c r="F246" s="58">
        <f>VLOOKUP(E246,Comptes!$A$2:$B$60,2,FALSE)</f>
        <v>0</v>
      </c>
      <c r="G246" s="49" t="s">
        <v>170</v>
      </c>
      <c r="H246" s="59" t="s">
        <v>429</v>
      </c>
      <c r="I246" s="68">
        <v>50</v>
      </c>
      <c r="J246" s="64"/>
    </row>
    <row r="247" spans="1:10" ht="10.5">
      <c r="A247" s="47">
        <v>256042</v>
      </c>
      <c r="B247" s="48">
        <v>38692</v>
      </c>
      <c r="C247" s="51">
        <v>512000</v>
      </c>
      <c r="D247" s="58">
        <f>VLOOKUP(C247,Comptes!$A$2:$B$60,2,FALSE)</f>
        <v>0</v>
      </c>
      <c r="E247" s="51">
        <v>511200</v>
      </c>
      <c r="F247" s="58">
        <f>VLOOKUP(E247,Comptes!$A$2:$B$60,2,FALSE)</f>
        <v>0</v>
      </c>
      <c r="G247" s="49" t="s">
        <v>170</v>
      </c>
      <c r="H247" s="59" t="s">
        <v>429</v>
      </c>
      <c r="I247" s="68">
        <v>60</v>
      </c>
      <c r="J247" s="64"/>
    </row>
    <row r="248" spans="1:10" ht="10.5">
      <c r="A248" s="65">
        <v>256042</v>
      </c>
      <c r="B248" s="57">
        <v>38692</v>
      </c>
      <c r="C248" s="60">
        <v>512000</v>
      </c>
      <c r="D248" s="58">
        <f>VLOOKUP(C248,Comptes!$A$2:$B$60,2,FALSE)</f>
        <v>0</v>
      </c>
      <c r="E248" s="60">
        <v>756000</v>
      </c>
      <c r="F248" s="58">
        <f>VLOOKUP(E248,Comptes!$A$2:$B$60,2,FALSE)</f>
        <v>0</v>
      </c>
      <c r="G248" s="59" t="s">
        <v>170</v>
      </c>
      <c r="H248" s="59" t="s">
        <v>429</v>
      </c>
      <c r="I248" s="68">
        <v>146</v>
      </c>
      <c r="J248" s="64"/>
    </row>
    <row r="249" spans="1:10" ht="10.5">
      <c r="A249" s="65">
        <v>256042</v>
      </c>
      <c r="B249" s="57">
        <v>38692</v>
      </c>
      <c r="C249" s="60">
        <v>512000</v>
      </c>
      <c r="D249" s="58">
        <f>VLOOKUP(C249,Comptes!$A$2:$B$60,2,FALSE)</f>
        <v>0</v>
      </c>
      <c r="E249" s="60">
        <v>708000</v>
      </c>
      <c r="F249" s="58">
        <f>VLOOKUP(E249,Comptes!$A$2:$B$60,2,FALSE)</f>
        <v>0</v>
      </c>
      <c r="G249" s="59" t="s">
        <v>170</v>
      </c>
      <c r="H249" s="59" t="s">
        <v>429</v>
      </c>
      <c r="I249" s="68">
        <v>59</v>
      </c>
      <c r="J249" s="64"/>
    </row>
    <row r="250" spans="1:10" ht="10.5">
      <c r="A250" s="65">
        <v>256042</v>
      </c>
      <c r="B250" s="57">
        <v>38692</v>
      </c>
      <c r="C250" s="60">
        <v>512000</v>
      </c>
      <c r="D250" s="58">
        <f>VLOOKUP(C250,Comptes!$A$2:$B$60,2,FALSE)</f>
        <v>0</v>
      </c>
      <c r="E250" s="60">
        <v>754000</v>
      </c>
      <c r="F250" s="58">
        <f>VLOOKUP(E250,Comptes!$A$2:$B$60,2,FALSE)</f>
        <v>0</v>
      </c>
      <c r="G250" s="59" t="s">
        <v>170</v>
      </c>
      <c r="H250" s="59" t="s">
        <v>429</v>
      </c>
      <c r="I250" s="68">
        <v>400</v>
      </c>
      <c r="J250" s="64"/>
    </row>
    <row r="251" spans="1:10" ht="10.5">
      <c r="A251" s="65">
        <v>256042</v>
      </c>
      <c r="B251" s="57">
        <v>38692</v>
      </c>
      <c r="C251" s="60">
        <v>530000</v>
      </c>
      <c r="D251" s="58">
        <f>VLOOKUP(C251,Comptes!$A$2:$B$60,2,FALSE)</f>
        <v>0</v>
      </c>
      <c r="E251" s="60">
        <v>706230</v>
      </c>
      <c r="F251" s="58">
        <f>VLOOKUP(E251,Comptes!$A$2:$B$60,2,FALSE)</f>
        <v>0</v>
      </c>
      <c r="G251" s="59"/>
      <c r="H251" s="63"/>
      <c r="I251" s="68">
        <v>60</v>
      </c>
      <c r="J251" s="64"/>
    </row>
    <row r="252" spans="1:10" ht="10.5">
      <c r="A252" s="65">
        <v>256042</v>
      </c>
      <c r="B252" s="57">
        <v>38692</v>
      </c>
      <c r="C252" s="60">
        <v>530000</v>
      </c>
      <c r="D252" s="58">
        <f>VLOOKUP(C252,Comptes!$A$2:$B$60,2,FALSE)</f>
        <v>0</v>
      </c>
      <c r="E252" s="60">
        <v>706230</v>
      </c>
      <c r="F252" s="58">
        <f>VLOOKUP(E252,Comptes!$A$2:$B$60,2,FALSE)</f>
        <v>0</v>
      </c>
      <c r="G252" s="59"/>
      <c r="H252" s="63"/>
      <c r="I252" s="68">
        <v>55</v>
      </c>
      <c r="J252" s="64"/>
    </row>
    <row r="253" spans="1:10" ht="10.5">
      <c r="A253" s="65">
        <v>256043</v>
      </c>
      <c r="B253" s="57">
        <v>38696</v>
      </c>
      <c r="C253" s="60">
        <v>613200</v>
      </c>
      <c r="D253" s="58">
        <f>VLOOKUP(C253,Comptes!$A$2:$B$60,2,FALSE)</f>
        <v>0</v>
      </c>
      <c r="E253" s="62">
        <v>512000</v>
      </c>
      <c r="F253" s="58">
        <f>VLOOKUP(E253,Comptes!$A$2:$B$60,2,FALSE)</f>
        <v>0</v>
      </c>
      <c r="G253" s="59" t="s">
        <v>178</v>
      </c>
      <c r="H253" s="59" t="s">
        <v>429</v>
      </c>
      <c r="I253" s="61">
        <v>963.5</v>
      </c>
      <c r="J253" s="64"/>
    </row>
    <row r="254" spans="1:10" ht="10.5">
      <c r="A254" s="65">
        <v>256044</v>
      </c>
      <c r="B254" s="57">
        <v>38699</v>
      </c>
      <c r="C254" s="60">
        <v>606110</v>
      </c>
      <c r="D254" s="58">
        <f>VLOOKUP(C254,Comptes!$A$2:$B$60,2,FALSE)</f>
        <v>0</v>
      </c>
      <c r="E254" s="59">
        <v>512000</v>
      </c>
      <c r="F254" s="58">
        <f>VLOOKUP(E254,Comptes!$A$2:$B$60,2,FALSE)</f>
        <v>0</v>
      </c>
      <c r="G254" s="59" t="s">
        <v>178</v>
      </c>
      <c r="H254" s="59" t="s">
        <v>429</v>
      </c>
      <c r="I254" s="68">
        <v>56.74</v>
      </c>
      <c r="J254" s="64"/>
    </row>
    <row r="255" spans="1:10" ht="10.5">
      <c r="A255" s="65">
        <v>245163</v>
      </c>
      <c r="B255" s="57">
        <v>38699</v>
      </c>
      <c r="C255" s="60">
        <v>606110</v>
      </c>
      <c r="D255" s="58">
        <f>VLOOKUP(C255,Comptes!$A$2:$B$60,2,FALSE)</f>
        <v>0</v>
      </c>
      <c r="E255" s="59">
        <v>512000</v>
      </c>
      <c r="F255" s="58">
        <f>VLOOKUP(E255,Comptes!$A$2:$B$60,2,FALSE)</f>
        <v>0</v>
      </c>
      <c r="G255" s="59" t="s">
        <v>178</v>
      </c>
      <c r="H255" s="59" t="s">
        <v>429</v>
      </c>
      <c r="I255" s="61">
        <v>149</v>
      </c>
      <c r="J255" s="64"/>
    </row>
    <row r="256" spans="1:10" ht="10.5">
      <c r="A256" s="65">
        <v>256045</v>
      </c>
      <c r="B256" s="57">
        <v>38694</v>
      </c>
      <c r="C256" s="60">
        <v>615000</v>
      </c>
      <c r="D256" s="58">
        <f>VLOOKUP(C256,Comptes!$A$2:$B$60,2,FALSE)</f>
        <v>0</v>
      </c>
      <c r="E256" s="59">
        <v>512000</v>
      </c>
      <c r="F256" s="58">
        <f>VLOOKUP(E256,Comptes!$A$2:$B$60,2,FALSE)</f>
        <v>0</v>
      </c>
      <c r="G256" s="36" t="s">
        <v>435</v>
      </c>
      <c r="H256" s="59" t="s">
        <v>429</v>
      </c>
      <c r="I256" s="68">
        <v>36.05</v>
      </c>
      <c r="J256" s="64"/>
    </row>
    <row r="257" spans="1:10" ht="10.5">
      <c r="A257" s="65">
        <v>256045</v>
      </c>
      <c r="B257" s="57">
        <v>38694</v>
      </c>
      <c r="C257" s="60">
        <v>606700</v>
      </c>
      <c r="D257" s="58">
        <f>VLOOKUP(C257,Comptes!$A$2:$B$60,2,FALSE)</f>
        <v>0</v>
      </c>
      <c r="E257" s="59">
        <v>530000</v>
      </c>
      <c r="F257" s="58">
        <f>VLOOKUP(E257,Comptes!$A$2:$B$60,2,FALSE)</f>
        <v>0</v>
      </c>
      <c r="G257" s="59"/>
      <c r="H257" s="63"/>
      <c r="I257" s="68">
        <f>23.34+12.9</f>
        <v>36.24</v>
      </c>
      <c r="J257" s="64"/>
    </row>
    <row r="258" spans="1:10" ht="10.5">
      <c r="A258" s="65">
        <v>256045</v>
      </c>
      <c r="B258" s="57">
        <v>38694</v>
      </c>
      <c r="C258" s="60">
        <v>606700</v>
      </c>
      <c r="D258" s="58">
        <f>VLOOKUP(C258,Comptes!$A$2:$B$60,2,FALSE)</f>
        <v>0</v>
      </c>
      <c r="E258" s="59">
        <v>512000</v>
      </c>
      <c r="F258" s="58">
        <f>VLOOKUP(E258,Comptes!$A$2:$B$60,2,FALSE)</f>
        <v>0</v>
      </c>
      <c r="G258" s="36" t="s">
        <v>436</v>
      </c>
      <c r="H258" s="59" t="s">
        <v>429</v>
      </c>
      <c r="I258" s="68">
        <v>31.65</v>
      </c>
      <c r="J258" s="64"/>
    </row>
    <row r="259" spans="1:10" ht="10.5">
      <c r="A259" s="65">
        <v>256046</v>
      </c>
      <c r="B259" s="57">
        <v>38695</v>
      </c>
      <c r="C259" s="60">
        <v>606150</v>
      </c>
      <c r="D259" s="58">
        <f>VLOOKUP(C259,Comptes!$A$2:$B$60,2,FALSE)</f>
        <v>0</v>
      </c>
      <c r="E259" s="59">
        <v>512000</v>
      </c>
      <c r="F259" s="58">
        <f>VLOOKUP(E259,Comptes!$A$2:$B$60,2,FALSE)</f>
        <v>0</v>
      </c>
      <c r="G259" s="36" t="s">
        <v>437</v>
      </c>
      <c r="H259" s="59" t="s">
        <v>429</v>
      </c>
      <c r="I259" s="68">
        <v>2422.14</v>
      </c>
      <c r="J259" s="64"/>
    </row>
    <row r="260" spans="1:10" ht="10.5">
      <c r="A260" s="65">
        <v>256047</v>
      </c>
      <c r="B260" s="57">
        <v>38700</v>
      </c>
      <c r="C260" s="60">
        <v>626500</v>
      </c>
      <c r="D260" s="58">
        <f>VLOOKUP(C260,Comptes!$A$2:$B$60,2,FALSE)</f>
        <v>0</v>
      </c>
      <c r="E260" s="59">
        <v>512000</v>
      </c>
      <c r="F260" s="58">
        <f>VLOOKUP(E260,Comptes!$A$2:$B$60,2,FALSE)</f>
        <v>0</v>
      </c>
      <c r="G260" s="36" t="s">
        <v>178</v>
      </c>
      <c r="H260" s="59" t="s">
        <v>429</v>
      </c>
      <c r="I260" s="61">
        <v>19.9</v>
      </c>
      <c r="J260" s="35"/>
    </row>
    <row r="261" spans="1:10" ht="10.5">
      <c r="A261" s="65">
        <v>256048</v>
      </c>
      <c r="B261" s="57">
        <v>38700</v>
      </c>
      <c r="C261" s="60">
        <v>626000</v>
      </c>
      <c r="D261" s="58">
        <f>VLOOKUP(C261,Comptes!$A$2:$B$60,2,FALSE)</f>
        <v>0</v>
      </c>
      <c r="E261" s="59">
        <v>530000</v>
      </c>
      <c r="F261" s="58">
        <f>VLOOKUP(E261,Comptes!$A$2:$B$60,2,FALSE)</f>
        <v>0</v>
      </c>
      <c r="G261" s="59"/>
      <c r="H261" s="63"/>
      <c r="I261" s="68">
        <v>63.93</v>
      </c>
      <c r="J261" s="64"/>
    </row>
    <row r="262" spans="1:10" ht="10.5">
      <c r="A262" s="65">
        <v>256049</v>
      </c>
      <c r="B262" s="57">
        <v>38688</v>
      </c>
      <c r="C262" s="60">
        <v>512000</v>
      </c>
      <c r="D262" s="58">
        <f>VLOOKUP(C262,Comptes!$A$2:$B$60,2,FALSE)</f>
        <v>0</v>
      </c>
      <c r="E262" s="59">
        <v>706320</v>
      </c>
      <c r="F262" s="58">
        <f>VLOOKUP(E262,Comptes!$A$2:$B$60,2,FALSE)</f>
        <v>0</v>
      </c>
      <c r="G262" s="59" t="s">
        <v>171</v>
      </c>
      <c r="H262" s="59" t="s">
        <v>429</v>
      </c>
      <c r="I262" s="68">
        <v>285</v>
      </c>
      <c r="J262" s="64"/>
    </row>
    <row r="263" spans="1:10" ht="10.5">
      <c r="A263" s="65">
        <v>256050</v>
      </c>
      <c r="B263" s="57">
        <v>38702</v>
      </c>
      <c r="C263" s="60">
        <v>606700</v>
      </c>
      <c r="D263" s="58">
        <f>VLOOKUP(C263,Comptes!$A$2:$B$60,2,FALSE)</f>
        <v>0</v>
      </c>
      <c r="E263" s="59">
        <v>530000</v>
      </c>
      <c r="F263" s="58">
        <f>VLOOKUP(E263,Comptes!$A$2:$B$60,2,FALSE)</f>
        <v>0</v>
      </c>
      <c r="G263" s="59"/>
      <c r="H263" s="63"/>
      <c r="I263" s="68">
        <f>14.92+18.24</f>
        <v>33.16</v>
      </c>
      <c r="J263" s="64"/>
    </row>
    <row r="264" spans="1:10" ht="10.5">
      <c r="A264" s="65">
        <v>256050</v>
      </c>
      <c r="B264" s="57">
        <v>38702</v>
      </c>
      <c r="C264" s="60">
        <v>606700</v>
      </c>
      <c r="D264" s="58">
        <f>VLOOKUP(C264,Comptes!$A$2:$B$60,2,FALSE)</f>
        <v>0</v>
      </c>
      <c r="E264" s="59">
        <v>512000</v>
      </c>
      <c r="F264" s="58">
        <f>VLOOKUP(E264,Comptes!$A$2:$B$60,2,FALSE)</f>
        <v>0</v>
      </c>
      <c r="G264" s="36" t="s">
        <v>438</v>
      </c>
      <c r="H264" s="59" t="s">
        <v>434</v>
      </c>
      <c r="I264" s="68">
        <v>23.05</v>
      </c>
      <c r="J264" s="64"/>
    </row>
    <row r="265" spans="1:10" ht="10.5">
      <c r="A265" s="65">
        <v>256050</v>
      </c>
      <c r="B265" s="57">
        <v>38702</v>
      </c>
      <c r="C265" s="60">
        <v>606700</v>
      </c>
      <c r="D265" s="58">
        <f>VLOOKUP(C265,Comptes!$A$2:$B$60,2,FALSE)</f>
        <v>0</v>
      </c>
      <c r="E265" s="59">
        <v>512000</v>
      </c>
      <c r="F265" s="58">
        <f>VLOOKUP(E265,Comptes!$A$2:$B$60,2,FALSE)</f>
        <v>0</v>
      </c>
      <c r="G265" s="36" t="s">
        <v>439</v>
      </c>
      <c r="H265" s="59" t="s">
        <v>434</v>
      </c>
      <c r="I265" s="68">
        <v>200</v>
      </c>
      <c r="J265" s="64"/>
    </row>
    <row r="266" spans="1:10" ht="10.5">
      <c r="A266" s="65">
        <v>256050</v>
      </c>
      <c r="B266" s="57">
        <v>38702</v>
      </c>
      <c r="C266" s="60">
        <v>606700</v>
      </c>
      <c r="D266" s="58">
        <f>VLOOKUP(C266,Comptes!$A$2:$B$60,2,FALSE)</f>
        <v>0</v>
      </c>
      <c r="E266" s="59">
        <v>512000</v>
      </c>
      <c r="F266" s="58">
        <f>VLOOKUP(E266,Comptes!$A$2:$B$60,2,FALSE)</f>
        <v>0</v>
      </c>
      <c r="G266" s="36" t="s">
        <v>439</v>
      </c>
      <c r="H266" s="59" t="s">
        <v>434</v>
      </c>
      <c r="I266" s="68">
        <v>236.05</v>
      </c>
      <c r="J266" s="64"/>
    </row>
    <row r="267" spans="1:10" ht="10.5">
      <c r="A267" s="65">
        <v>256050</v>
      </c>
      <c r="B267" s="57">
        <v>38702</v>
      </c>
      <c r="C267" s="59">
        <v>606300</v>
      </c>
      <c r="D267" s="58">
        <f>VLOOKUP(C267,Comptes!$A$2:$B$60,2,FALSE)</f>
        <v>0</v>
      </c>
      <c r="E267" s="59">
        <v>530000</v>
      </c>
      <c r="F267" s="58">
        <f>VLOOKUP(E267,Comptes!$A$2:$B$60,2,FALSE)</f>
        <v>0</v>
      </c>
      <c r="G267" s="36"/>
      <c r="H267" s="63"/>
      <c r="I267" s="68">
        <v>110</v>
      </c>
      <c r="J267" s="66"/>
    </row>
    <row r="268" spans="1:10" ht="10.5">
      <c r="A268" s="65">
        <v>256051</v>
      </c>
      <c r="B268" s="57">
        <v>38702</v>
      </c>
      <c r="C268" s="59">
        <v>615000</v>
      </c>
      <c r="D268" s="58">
        <f>VLOOKUP(C268,Comptes!$A$2:$B$60,2,FALSE)</f>
        <v>0</v>
      </c>
      <c r="E268" s="59">
        <v>512000</v>
      </c>
      <c r="F268" s="58">
        <f>VLOOKUP(E268,Comptes!$A$2:$B$60,2,FALSE)</f>
        <v>0</v>
      </c>
      <c r="G268" s="36" t="s">
        <v>440</v>
      </c>
      <c r="H268" s="59" t="s">
        <v>434</v>
      </c>
      <c r="I268" s="68">
        <v>273.55</v>
      </c>
      <c r="J268" s="66"/>
    </row>
    <row r="269" spans="1:10" ht="10.5">
      <c r="A269" s="65">
        <v>256052</v>
      </c>
      <c r="B269" s="57">
        <v>38706</v>
      </c>
      <c r="C269" s="59">
        <v>606110</v>
      </c>
      <c r="D269" s="58">
        <f>VLOOKUP(C269,Comptes!$A$2:$B$60,2,FALSE)</f>
        <v>0</v>
      </c>
      <c r="E269" s="59">
        <v>512000</v>
      </c>
      <c r="F269" s="58">
        <f>VLOOKUP(E269,Comptes!$A$2:$B$60,2,FALSE)</f>
        <v>0</v>
      </c>
      <c r="G269" s="36" t="s">
        <v>178</v>
      </c>
      <c r="H269" s="59" t="s">
        <v>434</v>
      </c>
      <c r="I269" s="68">
        <v>117.1</v>
      </c>
      <c r="J269" s="66"/>
    </row>
    <row r="270" spans="1:10" ht="10.5">
      <c r="A270" s="65">
        <v>256053</v>
      </c>
      <c r="B270" s="57">
        <v>38676</v>
      </c>
      <c r="C270" s="59">
        <v>615000</v>
      </c>
      <c r="D270" s="58">
        <f>VLOOKUP(C270,Comptes!$A$2:$B$60,2,FALSE)</f>
        <v>0</v>
      </c>
      <c r="E270" s="59">
        <v>512000</v>
      </c>
      <c r="F270" s="58">
        <f>VLOOKUP(E270,Comptes!$A$2:$B$60,2,FALSE)</f>
        <v>0</v>
      </c>
      <c r="G270" s="36" t="s">
        <v>441</v>
      </c>
      <c r="H270" s="59" t="s">
        <v>429</v>
      </c>
      <c r="I270" s="68">
        <v>190</v>
      </c>
      <c r="J270" s="66"/>
    </row>
    <row r="271" spans="1:10" ht="10.5">
      <c r="A271" s="65">
        <v>256054</v>
      </c>
      <c r="B271" s="57">
        <v>38691</v>
      </c>
      <c r="C271" s="60">
        <v>512000</v>
      </c>
      <c r="D271" s="58">
        <f>VLOOKUP(C271,Comptes!$A$2:$B$60,2,FALSE)</f>
        <v>0</v>
      </c>
      <c r="E271" s="59">
        <v>754000</v>
      </c>
      <c r="F271" s="58">
        <f>VLOOKUP(E271,Comptes!$A$2:$B$60,2,FALSE)</f>
        <v>0</v>
      </c>
      <c r="G271" s="59" t="s">
        <v>171</v>
      </c>
      <c r="H271" s="59" t="s">
        <v>429</v>
      </c>
      <c r="I271" s="61">
        <v>150</v>
      </c>
      <c r="J271" s="64"/>
    </row>
    <row r="272" spans="1:10" ht="10.5">
      <c r="A272" s="65">
        <v>256054</v>
      </c>
      <c r="B272" s="57">
        <v>38691</v>
      </c>
      <c r="C272" s="60">
        <v>512000</v>
      </c>
      <c r="D272" s="58">
        <f>VLOOKUP(C272,Comptes!$A$2:$B$60,2,FALSE)</f>
        <v>0</v>
      </c>
      <c r="E272" s="59">
        <v>754000</v>
      </c>
      <c r="F272" s="58">
        <f>VLOOKUP(E272,Comptes!$A$2:$B$60,2,FALSE)</f>
        <v>0</v>
      </c>
      <c r="G272" s="59" t="s">
        <v>171</v>
      </c>
      <c r="H272" s="59" t="s">
        <v>429</v>
      </c>
      <c r="I272" s="61">
        <v>15</v>
      </c>
      <c r="J272" s="64"/>
    </row>
    <row r="273" spans="1:10" ht="10.5">
      <c r="A273" s="65">
        <v>256054</v>
      </c>
      <c r="B273" s="57">
        <v>38695</v>
      </c>
      <c r="C273" s="60">
        <v>512000</v>
      </c>
      <c r="D273" s="58">
        <f>VLOOKUP(C273,Comptes!$A$2:$B$60,2,FALSE)</f>
        <v>0</v>
      </c>
      <c r="E273" s="59">
        <v>754000</v>
      </c>
      <c r="F273" s="58">
        <f>VLOOKUP(E273,Comptes!$A$2:$B$60,2,FALSE)</f>
        <v>0</v>
      </c>
      <c r="G273" s="59" t="s">
        <v>171</v>
      </c>
      <c r="H273" s="59" t="s">
        <v>429</v>
      </c>
      <c r="I273" s="61">
        <v>15</v>
      </c>
      <c r="J273" s="64"/>
    </row>
    <row r="274" spans="1:10" ht="10.5">
      <c r="A274" s="65">
        <v>256054</v>
      </c>
      <c r="B274" s="57">
        <v>38701</v>
      </c>
      <c r="C274" s="59">
        <v>512000</v>
      </c>
      <c r="D274" s="58">
        <f>VLOOKUP(C274,Comptes!$A$2:$B$60,2,FALSE)</f>
        <v>0</v>
      </c>
      <c r="E274" s="60">
        <v>754000</v>
      </c>
      <c r="F274" s="58">
        <f>VLOOKUP(E274,Comptes!$A$2:$B$60,2,FALSE)</f>
        <v>0</v>
      </c>
      <c r="G274" s="59" t="s">
        <v>171</v>
      </c>
      <c r="H274" s="59" t="s">
        <v>429</v>
      </c>
      <c r="I274" s="68">
        <v>12.5</v>
      </c>
      <c r="J274" s="64"/>
    </row>
    <row r="275" spans="1:10" ht="10.5">
      <c r="A275" s="65">
        <v>256054</v>
      </c>
      <c r="B275" s="57">
        <v>38701</v>
      </c>
      <c r="C275" s="59">
        <v>512000</v>
      </c>
      <c r="D275" s="58">
        <f>VLOOKUP(C275,Comptes!$A$2:$B$60,2,FALSE)</f>
        <v>0</v>
      </c>
      <c r="E275" s="60">
        <v>754000</v>
      </c>
      <c r="F275" s="58">
        <f>VLOOKUP(E275,Comptes!$A$2:$B$60,2,FALSE)</f>
        <v>0</v>
      </c>
      <c r="G275" s="59" t="s">
        <v>171</v>
      </c>
      <c r="H275" s="59" t="s">
        <v>429</v>
      </c>
      <c r="I275" s="68">
        <v>30</v>
      </c>
      <c r="J275" s="64"/>
    </row>
    <row r="276" spans="1:10" ht="10.5">
      <c r="A276" s="65">
        <v>256055</v>
      </c>
      <c r="B276" s="57">
        <v>38710</v>
      </c>
      <c r="C276" s="59">
        <v>626500</v>
      </c>
      <c r="D276" s="58">
        <f>VLOOKUP(C276,Comptes!$A$2:$B$60,2,FALSE)</f>
        <v>0</v>
      </c>
      <c r="E276" s="60">
        <v>512000</v>
      </c>
      <c r="F276" s="58">
        <f>VLOOKUP(E276,Comptes!$A$2:$B$60,2,FALSE)</f>
        <v>0</v>
      </c>
      <c r="G276" s="36" t="s">
        <v>178</v>
      </c>
      <c r="H276" s="59" t="s">
        <v>434</v>
      </c>
      <c r="I276" s="68">
        <v>37.67</v>
      </c>
      <c r="J276" s="64"/>
    </row>
    <row r="277" spans="1:10" ht="10.5">
      <c r="A277" s="65">
        <v>256056</v>
      </c>
      <c r="B277" s="57">
        <v>38714</v>
      </c>
      <c r="C277" s="59">
        <v>606700</v>
      </c>
      <c r="D277" s="58">
        <f>VLOOKUP(C277,Comptes!$A$2:$B$60,2,FALSE)</f>
        <v>0</v>
      </c>
      <c r="E277" s="60">
        <v>512000</v>
      </c>
      <c r="F277" s="58">
        <f>VLOOKUP(E277,Comptes!$A$2:$B$60,2,FALSE)</f>
        <v>0</v>
      </c>
      <c r="G277" s="36" t="s">
        <v>442</v>
      </c>
      <c r="H277" s="59" t="s">
        <v>427</v>
      </c>
      <c r="I277" s="68">
        <v>208.83</v>
      </c>
      <c r="J277" s="64"/>
    </row>
    <row r="278" spans="1:10" ht="10.5">
      <c r="A278" s="65">
        <v>256056</v>
      </c>
      <c r="B278" s="57">
        <v>38714</v>
      </c>
      <c r="C278" s="59">
        <v>606700</v>
      </c>
      <c r="D278" s="58">
        <f>VLOOKUP(C278,Comptes!$A$2:$B$60,2,FALSE)</f>
        <v>0</v>
      </c>
      <c r="E278" s="60">
        <v>512000</v>
      </c>
      <c r="F278" s="58">
        <f>VLOOKUP(E278,Comptes!$A$2:$B$60,2,FALSE)</f>
        <v>0</v>
      </c>
      <c r="G278" s="36" t="s">
        <v>443</v>
      </c>
      <c r="H278" s="59" t="s">
        <v>444</v>
      </c>
      <c r="I278" s="68">
        <v>10.9</v>
      </c>
      <c r="J278" s="64"/>
    </row>
    <row r="279" spans="1:10" ht="10.5">
      <c r="A279" s="65">
        <v>256057</v>
      </c>
      <c r="B279" s="57">
        <v>38716</v>
      </c>
      <c r="C279" s="59">
        <v>512000</v>
      </c>
      <c r="D279" s="58">
        <f>VLOOKUP(C279,Comptes!$A$2:$B$60,2,FALSE)</f>
        <v>0</v>
      </c>
      <c r="E279" s="59">
        <v>706210</v>
      </c>
      <c r="F279" s="58">
        <f>VLOOKUP(E279,Comptes!$A$2:$B$60,2,FALSE)</f>
        <v>0</v>
      </c>
      <c r="G279" s="36" t="s">
        <v>170</v>
      </c>
      <c r="H279" s="59" t="s">
        <v>434</v>
      </c>
      <c r="I279" s="68">
        <v>257</v>
      </c>
      <c r="J279" s="174"/>
    </row>
    <row r="280" spans="1:10" ht="10.5">
      <c r="A280" s="65">
        <v>256057</v>
      </c>
      <c r="B280" s="57">
        <v>38716</v>
      </c>
      <c r="C280" s="59">
        <v>512000</v>
      </c>
      <c r="D280" s="58">
        <f>VLOOKUP(C280,Comptes!$A$2:$B$60,2,FALSE)</f>
        <v>0</v>
      </c>
      <c r="E280" s="59">
        <v>706220</v>
      </c>
      <c r="F280" s="58">
        <f>VLOOKUP(E280,Comptes!$A$2:$B$60,2,FALSE)</f>
        <v>0</v>
      </c>
      <c r="G280" s="36" t="s">
        <v>170</v>
      </c>
      <c r="H280" s="59" t="s">
        <v>434</v>
      </c>
      <c r="I280" s="68">
        <v>200</v>
      </c>
      <c r="J280" s="174"/>
    </row>
    <row r="281" spans="1:10" ht="10.5">
      <c r="A281" s="65">
        <v>256057</v>
      </c>
      <c r="B281" s="57">
        <v>38716</v>
      </c>
      <c r="C281" s="59">
        <v>512000</v>
      </c>
      <c r="D281" s="58">
        <f>VLOOKUP(C281,Comptes!$A$2:$B$60,2,FALSE)</f>
        <v>0</v>
      </c>
      <c r="E281" s="59">
        <v>706230</v>
      </c>
      <c r="F281" s="58">
        <f>VLOOKUP(E281,Comptes!$A$2:$B$60,2,FALSE)</f>
        <v>0</v>
      </c>
      <c r="G281" s="36" t="s">
        <v>170</v>
      </c>
      <c r="H281" s="59" t="s">
        <v>434</v>
      </c>
      <c r="I281" s="68">
        <v>383</v>
      </c>
      <c r="J281" s="64"/>
    </row>
    <row r="282" spans="1:10" ht="10.5">
      <c r="A282" s="65">
        <v>256057</v>
      </c>
      <c r="B282" s="57">
        <v>38716</v>
      </c>
      <c r="C282" s="59">
        <v>512000</v>
      </c>
      <c r="D282" s="58">
        <f>VLOOKUP(C282,Comptes!$A$2:$B$60,2,FALSE)</f>
        <v>0</v>
      </c>
      <c r="E282" s="59">
        <v>756000</v>
      </c>
      <c r="F282" s="58">
        <f>VLOOKUP(E282,Comptes!$A$2:$B$60,2,FALSE)</f>
        <v>0</v>
      </c>
      <c r="G282" s="36" t="s">
        <v>170</v>
      </c>
      <c r="H282" s="59" t="s">
        <v>434</v>
      </c>
      <c r="I282" s="68">
        <v>64</v>
      </c>
      <c r="J282" s="64"/>
    </row>
    <row r="283" spans="1:10" ht="10.5">
      <c r="A283" s="65">
        <v>256057</v>
      </c>
      <c r="B283" s="57">
        <v>38716</v>
      </c>
      <c r="C283" s="59">
        <v>512000</v>
      </c>
      <c r="D283" s="58">
        <f>VLOOKUP(C283,Comptes!$A$2:$B$60,2,FALSE)</f>
        <v>0</v>
      </c>
      <c r="E283" s="59">
        <v>708000</v>
      </c>
      <c r="F283" s="58">
        <f>VLOOKUP(E283,Comptes!$A$2:$B$60,2,FALSE)</f>
        <v>0</v>
      </c>
      <c r="G283" s="36" t="s">
        <v>170</v>
      </c>
      <c r="H283" s="59" t="s">
        <v>434</v>
      </c>
      <c r="I283" s="68">
        <v>8</v>
      </c>
      <c r="J283" s="64"/>
    </row>
    <row r="284" spans="1:10" ht="10.5">
      <c r="A284" s="65">
        <v>256057</v>
      </c>
      <c r="B284" s="57">
        <v>38716</v>
      </c>
      <c r="C284" s="59">
        <v>512000</v>
      </c>
      <c r="D284" s="58">
        <f>VLOOKUP(C284,Comptes!$A$2:$B$60,2,FALSE)</f>
        <v>0</v>
      </c>
      <c r="E284" s="59">
        <v>706230</v>
      </c>
      <c r="F284" s="58">
        <f>VLOOKUP(E284,Comptes!$A$2:$B$60,2,FALSE)</f>
        <v>0</v>
      </c>
      <c r="G284" s="59" t="s">
        <v>170</v>
      </c>
      <c r="H284" s="59" t="s">
        <v>434</v>
      </c>
      <c r="I284" s="68">
        <f>415-I285-I286-I287-I288-I289-I290-I291</f>
        <v>124</v>
      </c>
      <c r="J284" s="64"/>
    </row>
    <row r="285" spans="1:10" ht="10.5">
      <c r="A285" s="65">
        <v>256057</v>
      </c>
      <c r="B285" s="57">
        <v>38716</v>
      </c>
      <c r="C285" s="59">
        <v>512000</v>
      </c>
      <c r="D285" s="58">
        <f>VLOOKUP(C285,Comptes!$A$2:$B$60,2,FALSE)</f>
        <v>0</v>
      </c>
      <c r="E285" s="59">
        <v>706210</v>
      </c>
      <c r="F285" s="58">
        <f>VLOOKUP(E285,Comptes!$A$2:$B$60,2,FALSE)</f>
        <v>0</v>
      </c>
      <c r="G285" s="36" t="s">
        <v>170</v>
      </c>
      <c r="H285" s="59" t="s">
        <v>434</v>
      </c>
      <c r="I285" s="68">
        <v>15</v>
      </c>
      <c r="J285" s="35"/>
    </row>
    <row r="286" spans="1:10" ht="10.5">
      <c r="A286" s="65">
        <v>256057</v>
      </c>
      <c r="B286" s="57">
        <v>38716</v>
      </c>
      <c r="C286" s="59">
        <v>512000</v>
      </c>
      <c r="D286" s="58">
        <f>VLOOKUP(C286,Comptes!$A$2:$B$60,2,FALSE)</f>
        <v>0</v>
      </c>
      <c r="E286" s="59">
        <v>706220</v>
      </c>
      <c r="F286" s="58">
        <f>VLOOKUP(E286,Comptes!$A$2:$B$60,2,FALSE)</f>
        <v>0</v>
      </c>
      <c r="G286" s="36" t="s">
        <v>170</v>
      </c>
      <c r="H286" s="59" t="s">
        <v>434</v>
      </c>
      <c r="I286" s="68">
        <v>12</v>
      </c>
      <c r="J286" s="35"/>
    </row>
    <row r="287" spans="1:10" ht="10.5">
      <c r="A287" s="65">
        <v>256057</v>
      </c>
      <c r="B287" s="57">
        <v>38716</v>
      </c>
      <c r="C287" s="59">
        <v>512000</v>
      </c>
      <c r="D287" s="58">
        <f>VLOOKUP(C287,Comptes!$A$2:$B$60,2,FALSE)</f>
        <v>0</v>
      </c>
      <c r="E287" s="59">
        <v>706220</v>
      </c>
      <c r="F287" s="58">
        <f>VLOOKUP(E287,Comptes!$A$2:$B$60,2,FALSE)</f>
        <v>0</v>
      </c>
      <c r="G287" s="36" t="s">
        <v>170</v>
      </c>
      <c r="H287" s="59" t="s">
        <v>434</v>
      </c>
      <c r="I287" s="68">
        <f>15+17</f>
        <v>32</v>
      </c>
      <c r="J287" s="35"/>
    </row>
    <row r="288" spans="1:10" ht="10.5">
      <c r="A288" s="65">
        <v>256057</v>
      </c>
      <c r="B288" s="57">
        <v>38716</v>
      </c>
      <c r="C288" s="59">
        <v>512000</v>
      </c>
      <c r="D288" s="58">
        <f>VLOOKUP(C288,Comptes!$A$2:$B$60,2,FALSE)</f>
        <v>0</v>
      </c>
      <c r="E288" s="59">
        <v>706210</v>
      </c>
      <c r="F288" s="58">
        <f>VLOOKUP(E288,Comptes!$A$2:$B$60,2,FALSE)</f>
        <v>0</v>
      </c>
      <c r="G288" s="36" t="s">
        <v>170</v>
      </c>
      <c r="H288" s="59" t="s">
        <v>434</v>
      </c>
      <c r="I288" s="68">
        <v>45</v>
      </c>
      <c r="J288" s="35"/>
    </row>
    <row r="289" spans="1:10" ht="10.5">
      <c r="A289" s="65">
        <v>256057</v>
      </c>
      <c r="B289" s="57">
        <v>38716</v>
      </c>
      <c r="C289" s="59">
        <v>512000</v>
      </c>
      <c r="D289" s="58">
        <f>VLOOKUP(C289,Comptes!$A$2:$B$60,2,FALSE)</f>
        <v>0</v>
      </c>
      <c r="E289" s="59">
        <v>706220</v>
      </c>
      <c r="F289" s="58">
        <f>VLOOKUP(E289,Comptes!$A$2:$B$60,2,FALSE)</f>
        <v>0</v>
      </c>
      <c r="G289" s="36" t="s">
        <v>170</v>
      </c>
      <c r="H289" s="59" t="s">
        <v>434</v>
      </c>
      <c r="I289" s="68">
        <v>25</v>
      </c>
      <c r="J289" s="35"/>
    </row>
    <row r="290" spans="1:10" ht="10.5">
      <c r="A290" s="65">
        <v>256057</v>
      </c>
      <c r="B290" s="57">
        <v>38716</v>
      </c>
      <c r="C290" s="59">
        <v>512000</v>
      </c>
      <c r="D290" s="58">
        <f>VLOOKUP(C290,Comptes!$A$2:$B$60,2,FALSE)</f>
        <v>0</v>
      </c>
      <c r="E290" s="59">
        <v>706230</v>
      </c>
      <c r="F290" s="58">
        <f>VLOOKUP(E290,Comptes!$A$2:$B$60,2,FALSE)</f>
        <v>0</v>
      </c>
      <c r="G290" s="36" t="s">
        <v>170</v>
      </c>
      <c r="H290" s="59" t="s">
        <v>434</v>
      </c>
      <c r="I290" s="68">
        <v>60</v>
      </c>
      <c r="J290" s="35"/>
    </row>
    <row r="291" spans="1:10" ht="10.5">
      <c r="A291" s="65">
        <v>256057</v>
      </c>
      <c r="B291" s="57">
        <v>38716</v>
      </c>
      <c r="C291" s="59">
        <v>512000</v>
      </c>
      <c r="D291" s="58">
        <f>VLOOKUP(C291,Comptes!$A$2:$B$60,2,FALSE)</f>
        <v>0</v>
      </c>
      <c r="E291" s="59">
        <v>706230</v>
      </c>
      <c r="F291" s="58">
        <f>VLOOKUP(E291,Comptes!$A$2:$B$60,2,FALSE)</f>
        <v>0</v>
      </c>
      <c r="G291" s="36" t="s">
        <v>170</v>
      </c>
      <c r="H291" s="59" t="s">
        <v>434</v>
      </c>
      <c r="I291" s="68">
        <v>102</v>
      </c>
      <c r="J291" s="35"/>
    </row>
    <row r="292" spans="1:10" ht="10.5">
      <c r="A292" s="65">
        <v>256057</v>
      </c>
      <c r="B292" s="57">
        <v>38716</v>
      </c>
      <c r="C292" s="59">
        <v>512000</v>
      </c>
      <c r="D292" s="58">
        <f>VLOOKUP(C292,Comptes!$A$2:$B$60,2,FALSE)</f>
        <v>0</v>
      </c>
      <c r="E292" s="59">
        <v>706100</v>
      </c>
      <c r="F292" s="58">
        <f>VLOOKUP(E292,Comptes!$A$2:$B$60,2,FALSE)</f>
        <v>0</v>
      </c>
      <c r="G292" s="36" t="s">
        <v>170</v>
      </c>
      <c r="H292" s="59" t="s">
        <v>434</v>
      </c>
      <c r="I292" s="68">
        <v>150</v>
      </c>
      <c r="J292" s="35"/>
    </row>
    <row r="293" spans="1:10" ht="10.5">
      <c r="A293" s="47">
        <v>256057</v>
      </c>
      <c r="B293" s="48">
        <v>38716</v>
      </c>
      <c r="C293" s="49">
        <v>512000</v>
      </c>
      <c r="D293" s="58">
        <f>VLOOKUP(C293,Comptes!$A$2:$B$60,2,FALSE)</f>
        <v>0</v>
      </c>
      <c r="E293" s="49">
        <v>511200</v>
      </c>
      <c r="F293" s="58">
        <f>VLOOKUP(E293,Comptes!$A$2:$B$60,2,FALSE)</f>
        <v>0</v>
      </c>
      <c r="G293" s="49" t="s">
        <v>170</v>
      </c>
      <c r="H293" s="59" t="s">
        <v>434</v>
      </c>
      <c r="I293" s="68">
        <v>84</v>
      </c>
      <c r="J293" s="35"/>
    </row>
    <row r="294" spans="1:10" ht="10.5">
      <c r="A294" s="47">
        <v>256057</v>
      </c>
      <c r="B294" s="48">
        <v>38716</v>
      </c>
      <c r="C294" s="49">
        <v>512000</v>
      </c>
      <c r="D294" s="58">
        <f>VLOOKUP(C294,Comptes!$A$2:$B$60,2,FALSE)</f>
        <v>0</v>
      </c>
      <c r="E294" s="49">
        <v>511200</v>
      </c>
      <c r="F294" s="58">
        <f>VLOOKUP(E294,Comptes!$A$2:$B$60,2,FALSE)</f>
        <v>0</v>
      </c>
      <c r="G294" s="49" t="s">
        <v>170</v>
      </c>
      <c r="H294" s="59" t="s">
        <v>434</v>
      </c>
      <c r="I294" s="68">
        <v>50</v>
      </c>
      <c r="J294" s="35"/>
    </row>
    <row r="295" spans="1:10" ht="10.5">
      <c r="A295" s="47">
        <v>256057</v>
      </c>
      <c r="B295" s="48">
        <v>38716</v>
      </c>
      <c r="C295" s="49">
        <v>512000</v>
      </c>
      <c r="D295" s="58">
        <f>VLOOKUP(C295,Comptes!$A$2:$B$60,2,FALSE)</f>
        <v>0</v>
      </c>
      <c r="E295" s="49">
        <v>511200</v>
      </c>
      <c r="F295" s="58">
        <f>VLOOKUP(E295,Comptes!$A$2:$B$60,2,FALSE)</f>
        <v>0</v>
      </c>
      <c r="G295" s="49" t="s">
        <v>170</v>
      </c>
      <c r="H295" s="59" t="s">
        <v>434</v>
      </c>
      <c r="I295" s="68">
        <v>180</v>
      </c>
      <c r="J295" s="64"/>
    </row>
    <row r="296" spans="1:10" ht="10.5">
      <c r="A296" s="65">
        <v>256057</v>
      </c>
      <c r="B296" s="57">
        <v>38716</v>
      </c>
      <c r="C296" s="59">
        <v>530000</v>
      </c>
      <c r="D296" s="58">
        <f>VLOOKUP(C296,Comptes!$A$2:$B$60,2,FALSE)</f>
        <v>0</v>
      </c>
      <c r="E296" s="59">
        <v>706210</v>
      </c>
      <c r="F296" s="58">
        <f>VLOOKUP(E296,Comptes!$A$2:$B$60,2,FALSE)</f>
        <v>0</v>
      </c>
      <c r="G296" s="59"/>
      <c r="H296" s="63"/>
      <c r="I296" s="68">
        <v>78</v>
      </c>
      <c r="J296" s="64"/>
    </row>
    <row r="297" spans="1:10" ht="10.5">
      <c r="A297" s="65">
        <v>256057</v>
      </c>
      <c r="B297" s="57">
        <v>38716</v>
      </c>
      <c r="C297" s="59">
        <v>530000</v>
      </c>
      <c r="D297" s="58">
        <f>VLOOKUP(C297,Comptes!$A$2:$B$60,2,FALSE)</f>
        <v>0</v>
      </c>
      <c r="E297" s="59">
        <v>706220</v>
      </c>
      <c r="F297" s="58">
        <f>VLOOKUP(E297,Comptes!$A$2:$B$60,2,FALSE)</f>
        <v>0</v>
      </c>
      <c r="G297" s="59"/>
      <c r="H297" s="63"/>
      <c r="I297" s="68">
        <v>60</v>
      </c>
      <c r="J297" s="64"/>
    </row>
    <row r="298" spans="1:10" ht="10.5">
      <c r="A298" s="65">
        <v>256057</v>
      </c>
      <c r="B298" s="57">
        <v>38716</v>
      </c>
      <c r="C298" s="59">
        <v>530000</v>
      </c>
      <c r="D298" s="58">
        <f>VLOOKUP(C298,Comptes!$A$2:$B$60,2,FALSE)</f>
        <v>0</v>
      </c>
      <c r="E298" s="59">
        <v>706230</v>
      </c>
      <c r="F298" s="58">
        <f>VLOOKUP(E298,Comptes!$A$2:$B$60,2,FALSE)</f>
        <v>0</v>
      </c>
      <c r="G298" s="59"/>
      <c r="H298" s="63"/>
      <c r="I298" s="68">
        <v>98</v>
      </c>
      <c r="J298" s="64"/>
    </row>
    <row r="299" spans="1:10" ht="10.5">
      <c r="A299" s="65">
        <v>256057</v>
      </c>
      <c r="B299" s="57">
        <v>38716</v>
      </c>
      <c r="C299" s="59">
        <v>530000</v>
      </c>
      <c r="D299" s="58">
        <f>VLOOKUP(C299,Comptes!$A$2:$B$60,2,FALSE)</f>
        <v>0</v>
      </c>
      <c r="E299" s="59">
        <v>756000</v>
      </c>
      <c r="F299" s="58">
        <f>VLOOKUP(E299,Comptes!$A$2:$B$60,2,FALSE)</f>
        <v>0</v>
      </c>
      <c r="G299" s="59"/>
      <c r="H299" s="63"/>
      <c r="I299" s="68">
        <v>32</v>
      </c>
      <c r="J299" s="64"/>
    </row>
    <row r="300" spans="1:10" ht="10.5">
      <c r="A300" s="65">
        <v>256057</v>
      </c>
      <c r="B300" s="57">
        <v>38716</v>
      </c>
      <c r="C300" s="59">
        <v>530000</v>
      </c>
      <c r="D300" s="58">
        <f>VLOOKUP(C300,Comptes!$A$2:$B$60,2,FALSE)</f>
        <v>0</v>
      </c>
      <c r="E300" s="59">
        <v>708000</v>
      </c>
      <c r="F300" s="58">
        <f>VLOOKUP(E300,Comptes!$A$2:$B$60,2,FALSE)</f>
        <v>0</v>
      </c>
      <c r="G300" s="59"/>
      <c r="H300" s="63"/>
      <c r="I300" s="68">
        <v>8</v>
      </c>
      <c r="J300" s="64"/>
    </row>
    <row r="301" spans="1:10" ht="10.5">
      <c r="A301" s="65">
        <v>256057</v>
      </c>
      <c r="B301" s="57">
        <v>38716</v>
      </c>
      <c r="C301" s="59">
        <v>530000</v>
      </c>
      <c r="D301" s="58">
        <f>VLOOKUP(C301,Comptes!$A$2:$B$60,2,FALSE)</f>
        <v>0</v>
      </c>
      <c r="E301" s="59">
        <v>706230</v>
      </c>
      <c r="F301" s="58">
        <f>VLOOKUP(E301,Comptes!$A$2:$B$60,2,FALSE)</f>
        <v>0</v>
      </c>
      <c r="G301" s="59"/>
      <c r="H301" s="59"/>
      <c r="I301" s="68">
        <v>55</v>
      </c>
      <c r="J301" s="64"/>
    </row>
    <row r="302" spans="1:10" ht="10.5">
      <c r="A302" s="65">
        <v>256058</v>
      </c>
      <c r="B302" s="57">
        <v>38716</v>
      </c>
      <c r="C302" s="60">
        <v>641000</v>
      </c>
      <c r="D302" s="58">
        <f>VLOOKUP(C302,Comptes!$A$2:$B$60,2,FALSE)</f>
        <v>0</v>
      </c>
      <c r="E302" s="62">
        <v>512000</v>
      </c>
      <c r="F302" s="58">
        <f>VLOOKUP(E302,Comptes!$A$2:$B$60,2,FALSE)</f>
        <v>0</v>
      </c>
      <c r="G302" s="59" t="s">
        <v>445</v>
      </c>
      <c r="H302" s="59" t="s">
        <v>434</v>
      </c>
      <c r="I302" s="61">
        <v>1336.87</v>
      </c>
      <c r="J302" s="66"/>
    </row>
    <row r="303" spans="1:10" ht="10.5">
      <c r="A303" s="65">
        <v>256058</v>
      </c>
      <c r="B303" s="57">
        <v>38716</v>
      </c>
      <c r="C303" s="60">
        <v>613100</v>
      </c>
      <c r="D303" s="58">
        <f>VLOOKUP(C303,Comptes!$A$2:$B$60,2,FALSE)</f>
        <v>0</v>
      </c>
      <c r="E303" s="62">
        <v>512000</v>
      </c>
      <c r="F303" s="58">
        <f>VLOOKUP(E303,Comptes!$A$2:$B$60,2,FALSE)</f>
        <v>0</v>
      </c>
      <c r="G303" s="59" t="s">
        <v>446</v>
      </c>
      <c r="H303" s="59" t="s">
        <v>427</v>
      </c>
      <c r="I303" s="61">
        <v>610</v>
      </c>
      <c r="J303" s="66"/>
    </row>
    <row r="304" spans="1:10" ht="10.5">
      <c r="A304" s="65">
        <v>256058</v>
      </c>
      <c r="B304" s="57">
        <v>38716</v>
      </c>
      <c r="C304" s="60">
        <v>625000</v>
      </c>
      <c r="D304" s="58">
        <f>VLOOKUP(C304,Comptes!$A$2:$B$60,2,FALSE)</f>
        <v>0</v>
      </c>
      <c r="E304" s="62">
        <v>512000</v>
      </c>
      <c r="F304" s="58">
        <f>VLOOKUP(E304,Comptes!$A$2:$B$60,2,FALSE)</f>
        <v>0</v>
      </c>
      <c r="G304" s="59" t="s">
        <v>446</v>
      </c>
      <c r="H304" s="59" t="s">
        <v>427</v>
      </c>
      <c r="I304" s="61">
        <v>40</v>
      </c>
      <c r="J304" s="66"/>
    </row>
    <row r="305" spans="1:10" ht="10.5">
      <c r="A305" s="65">
        <v>256058</v>
      </c>
      <c r="B305" s="57">
        <v>38716</v>
      </c>
      <c r="C305" s="60">
        <v>606700</v>
      </c>
      <c r="D305" s="58">
        <f>VLOOKUP(C305,Comptes!$A$2:$B$60,2,FALSE)</f>
        <v>0</v>
      </c>
      <c r="E305" s="62">
        <v>530000</v>
      </c>
      <c r="F305" s="58">
        <f>VLOOKUP(E305,Comptes!$A$2:$B$60,2,FALSE)</f>
        <v>0</v>
      </c>
      <c r="G305" s="59"/>
      <c r="H305" s="63"/>
      <c r="I305" s="61">
        <v>21.55</v>
      </c>
      <c r="J305" s="66"/>
    </row>
    <row r="306" spans="1:10" ht="10.5">
      <c r="A306" s="65">
        <v>256058</v>
      </c>
      <c r="B306" s="57">
        <v>38716</v>
      </c>
      <c r="C306" s="60">
        <v>625000</v>
      </c>
      <c r="D306" s="58">
        <f>VLOOKUP(C306,Comptes!$A$2:$B$60,2,FALSE)</f>
        <v>0</v>
      </c>
      <c r="E306" s="62">
        <v>530000</v>
      </c>
      <c r="F306" s="58">
        <f>VLOOKUP(E306,Comptes!$A$2:$B$60,2,FALSE)</f>
        <v>0</v>
      </c>
      <c r="G306" s="59"/>
      <c r="H306" s="63"/>
      <c r="I306" s="61">
        <v>38.5</v>
      </c>
      <c r="J306" s="66"/>
    </row>
    <row r="307" spans="1:10" ht="10.5">
      <c r="A307" s="65">
        <v>256058</v>
      </c>
      <c r="B307" s="57">
        <v>38716</v>
      </c>
      <c r="C307" s="60">
        <v>622600</v>
      </c>
      <c r="D307" s="58">
        <f>VLOOKUP(C307,Comptes!$A$2:$B$60,2,FALSE)</f>
        <v>0</v>
      </c>
      <c r="E307" s="62">
        <v>512000</v>
      </c>
      <c r="F307" s="58">
        <f>VLOOKUP(E307,Comptes!$A$2:$B$60,2,FALSE)</f>
        <v>0</v>
      </c>
      <c r="G307" s="59" t="s">
        <v>447</v>
      </c>
      <c r="H307" s="59" t="s">
        <v>448</v>
      </c>
      <c r="I307" s="61">
        <v>190</v>
      </c>
      <c r="J307" s="66"/>
    </row>
    <row r="308" spans="1:10" ht="10.5">
      <c r="A308" s="65">
        <v>256059</v>
      </c>
      <c r="B308" s="57">
        <v>38716</v>
      </c>
      <c r="C308" s="59">
        <v>606120</v>
      </c>
      <c r="D308" s="58">
        <f>VLOOKUP(C308,Comptes!$A$2:$B$60,2,FALSE)</f>
        <v>0</v>
      </c>
      <c r="E308" s="62">
        <v>512000</v>
      </c>
      <c r="F308" s="58">
        <f>VLOOKUP(E308,Comptes!$A$2:$B$60,2,FALSE)</f>
        <v>0</v>
      </c>
      <c r="G308" s="36" t="s">
        <v>200</v>
      </c>
      <c r="H308" s="59" t="s">
        <v>427</v>
      </c>
      <c r="I308" s="68">
        <v>420.22</v>
      </c>
      <c r="J308" s="35"/>
    </row>
    <row r="309" spans="1:10" ht="10.5">
      <c r="A309" s="65">
        <v>256060</v>
      </c>
      <c r="B309" s="57">
        <v>38728</v>
      </c>
      <c r="C309" s="59">
        <v>626500</v>
      </c>
      <c r="D309" s="58">
        <f>VLOOKUP(C309,Comptes!$A$2:$B$60,2,FALSE)</f>
        <v>0</v>
      </c>
      <c r="E309" s="62">
        <v>512000</v>
      </c>
      <c r="F309" s="58">
        <f>VLOOKUP(E309,Comptes!$A$2:$B$60,2,FALSE)</f>
        <v>0</v>
      </c>
      <c r="G309" s="36" t="s">
        <v>178</v>
      </c>
      <c r="H309" s="59" t="s">
        <v>427</v>
      </c>
      <c r="I309" s="68">
        <v>159.5</v>
      </c>
      <c r="J309" s="66"/>
    </row>
    <row r="310" spans="1:10" ht="10.5">
      <c r="A310" s="65">
        <v>256061</v>
      </c>
      <c r="B310" s="57">
        <v>38717</v>
      </c>
      <c r="C310" s="59">
        <v>625000</v>
      </c>
      <c r="D310" s="58">
        <f>VLOOKUP(C310,Comptes!$A$2:$B$60,2,FALSE)</f>
        <v>0</v>
      </c>
      <c r="E310" s="62">
        <v>512000</v>
      </c>
      <c r="F310" s="58">
        <f>VLOOKUP(E310,Comptes!$A$2:$B$60,2,FALSE)</f>
        <v>0</v>
      </c>
      <c r="G310" s="59" t="s">
        <v>449</v>
      </c>
      <c r="H310" s="59" t="s">
        <v>427</v>
      </c>
      <c r="I310" s="68">
        <v>293.4</v>
      </c>
      <c r="J310" s="66"/>
    </row>
    <row r="311" spans="1:10" ht="10.5">
      <c r="A311" s="65">
        <v>256061</v>
      </c>
      <c r="B311" s="57">
        <v>38717</v>
      </c>
      <c r="C311" s="59">
        <v>606400</v>
      </c>
      <c r="D311" s="58">
        <f>VLOOKUP(C311,Comptes!$A$2:$B$60,2,FALSE)</f>
        <v>0</v>
      </c>
      <c r="E311" s="62">
        <v>512000</v>
      </c>
      <c r="F311" s="58">
        <f>VLOOKUP(E311,Comptes!$A$2:$B$60,2,FALSE)</f>
        <v>0</v>
      </c>
      <c r="G311" s="59" t="s">
        <v>449</v>
      </c>
      <c r="H311" s="59" t="s">
        <v>427</v>
      </c>
      <c r="I311" s="68">
        <v>136.8</v>
      </c>
      <c r="J311" s="66"/>
    </row>
    <row r="312" spans="1:10" ht="10.5">
      <c r="A312" s="65">
        <v>256062</v>
      </c>
      <c r="B312" s="57">
        <v>38718</v>
      </c>
      <c r="C312" s="59">
        <v>512000</v>
      </c>
      <c r="D312" s="58">
        <f>VLOOKUP(C312,Comptes!$A$2:$B$60,2,FALSE)</f>
        <v>0</v>
      </c>
      <c r="E312" s="59">
        <v>706210</v>
      </c>
      <c r="F312" s="58">
        <f>VLOOKUP(E312,Comptes!$A$2:$B$60,2,FALSE)</f>
        <v>0</v>
      </c>
      <c r="G312" s="59" t="s">
        <v>170</v>
      </c>
      <c r="H312" s="59" t="s">
        <v>427</v>
      </c>
      <c r="I312" s="68">
        <v>601</v>
      </c>
      <c r="J312" s="66"/>
    </row>
    <row r="313" spans="1:10" ht="10.5">
      <c r="A313" s="65">
        <v>256062</v>
      </c>
      <c r="B313" s="57">
        <v>38718</v>
      </c>
      <c r="C313" s="59">
        <v>512000</v>
      </c>
      <c r="D313" s="58">
        <f>VLOOKUP(C313,Comptes!$A$2:$B$60,2,FALSE)</f>
        <v>0</v>
      </c>
      <c r="E313" s="59">
        <v>706220</v>
      </c>
      <c r="F313" s="58">
        <f>VLOOKUP(E313,Comptes!$A$2:$B$60,2,FALSE)</f>
        <v>0</v>
      </c>
      <c r="G313" s="59" t="s">
        <v>170</v>
      </c>
      <c r="H313" s="59" t="s">
        <v>427</v>
      </c>
      <c r="I313" s="68">
        <v>552</v>
      </c>
      <c r="J313" s="66"/>
    </row>
    <row r="314" spans="1:10" ht="10.5">
      <c r="A314" s="65">
        <v>256062</v>
      </c>
      <c r="B314" s="57">
        <v>38718</v>
      </c>
      <c r="C314" s="59">
        <v>512000</v>
      </c>
      <c r="D314" s="58">
        <f>VLOOKUP(C314,Comptes!$A$2:$B$60,2,FALSE)</f>
        <v>0</v>
      </c>
      <c r="E314" s="59">
        <v>706230</v>
      </c>
      <c r="F314" s="58">
        <f>VLOOKUP(E314,Comptes!$A$2:$B$60,2,FALSE)</f>
        <v>0</v>
      </c>
      <c r="G314" s="59" t="s">
        <v>170</v>
      </c>
      <c r="H314" s="59" t="s">
        <v>427</v>
      </c>
      <c r="I314" s="68">
        <v>1886</v>
      </c>
      <c r="J314" s="175"/>
    </row>
    <row r="315" spans="1:10" ht="10.5">
      <c r="A315" s="65">
        <v>256062</v>
      </c>
      <c r="B315" s="57">
        <v>38718</v>
      </c>
      <c r="C315" s="59">
        <v>512000</v>
      </c>
      <c r="D315" s="58">
        <f>VLOOKUP(C315,Comptes!$A$2:$B$60,2,FALSE)</f>
        <v>0</v>
      </c>
      <c r="E315" s="59">
        <v>756000</v>
      </c>
      <c r="F315" s="58">
        <f>VLOOKUP(E315,Comptes!$A$2:$B$60,2,FALSE)</f>
        <v>0</v>
      </c>
      <c r="G315" s="59" t="s">
        <v>170</v>
      </c>
      <c r="H315" s="59" t="s">
        <v>427</v>
      </c>
      <c r="I315" s="68">
        <v>224</v>
      </c>
      <c r="J315" s="66"/>
    </row>
    <row r="316" spans="1:10" ht="10.5">
      <c r="A316" s="65">
        <v>256062</v>
      </c>
      <c r="B316" s="57">
        <v>38718</v>
      </c>
      <c r="C316" s="59">
        <v>512000</v>
      </c>
      <c r="D316" s="58">
        <f>VLOOKUP(C316,Comptes!$A$2:$B$60,2,FALSE)</f>
        <v>0</v>
      </c>
      <c r="E316" s="59">
        <v>708000</v>
      </c>
      <c r="F316" s="58">
        <f>VLOOKUP(E316,Comptes!$A$2:$B$60,2,FALSE)</f>
        <v>0</v>
      </c>
      <c r="G316" s="59" t="s">
        <v>170</v>
      </c>
      <c r="H316" s="59" t="s">
        <v>427</v>
      </c>
      <c r="I316" s="68">
        <v>24</v>
      </c>
      <c r="J316" s="66"/>
    </row>
    <row r="317" spans="1:10" ht="10.5">
      <c r="A317" s="65">
        <v>256062</v>
      </c>
      <c r="B317" s="57">
        <v>38718</v>
      </c>
      <c r="C317" s="59">
        <v>512000</v>
      </c>
      <c r="D317" s="58">
        <f>VLOOKUP(C317,Comptes!$A$2:$B$60,2,FALSE)</f>
        <v>0</v>
      </c>
      <c r="E317" s="62">
        <v>754000</v>
      </c>
      <c r="F317" s="58">
        <f>VLOOKUP(E317,Comptes!$A$2:$B$60,2,FALSE)</f>
        <v>0</v>
      </c>
      <c r="G317" s="59" t="s">
        <v>170</v>
      </c>
      <c r="H317" s="59" t="s">
        <v>427</v>
      </c>
      <c r="I317" s="68">
        <v>200</v>
      </c>
      <c r="J317" s="66"/>
    </row>
    <row r="318" spans="1:10" ht="10.5">
      <c r="A318" s="65">
        <v>256062</v>
      </c>
      <c r="B318" s="57">
        <v>38718</v>
      </c>
      <c r="C318" s="59">
        <v>530000</v>
      </c>
      <c r="D318" s="58">
        <f>VLOOKUP(C318,Comptes!$A$2:$B$60,2,FALSE)</f>
        <v>0</v>
      </c>
      <c r="E318" s="59">
        <v>706210</v>
      </c>
      <c r="F318" s="58">
        <f>VLOOKUP(E318,Comptes!$A$2:$B$60,2,FALSE)</f>
        <v>0</v>
      </c>
      <c r="G318" s="59"/>
      <c r="H318" s="63"/>
      <c r="I318" s="68">
        <v>51</v>
      </c>
      <c r="J318" s="66"/>
    </row>
    <row r="319" spans="1:10" ht="10.5">
      <c r="A319" s="65">
        <v>256062</v>
      </c>
      <c r="B319" s="57">
        <v>38718</v>
      </c>
      <c r="C319" s="59">
        <v>530000</v>
      </c>
      <c r="D319" s="58">
        <f>VLOOKUP(C319,Comptes!$A$2:$B$60,2,FALSE)</f>
        <v>0</v>
      </c>
      <c r="E319" s="59">
        <v>706220</v>
      </c>
      <c r="F319" s="58">
        <f>VLOOKUP(E319,Comptes!$A$2:$B$60,2,FALSE)</f>
        <v>0</v>
      </c>
      <c r="G319" s="59"/>
      <c r="H319" s="63"/>
      <c r="I319" s="68">
        <v>72</v>
      </c>
      <c r="J319" s="66"/>
    </row>
    <row r="320" spans="1:10" ht="10.5">
      <c r="A320" s="65">
        <v>256062</v>
      </c>
      <c r="B320" s="57">
        <v>38718</v>
      </c>
      <c r="C320" s="59">
        <v>530000</v>
      </c>
      <c r="D320" s="58">
        <f>VLOOKUP(C320,Comptes!$A$2:$B$60,2,FALSE)</f>
        <v>0</v>
      </c>
      <c r="E320" s="59">
        <v>706230</v>
      </c>
      <c r="F320" s="58">
        <f>VLOOKUP(E320,Comptes!$A$2:$B$60,2,FALSE)</f>
        <v>0</v>
      </c>
      <c r="G320" s="59"/>
      <c r="H320" s="63"/>
      <c r="I320" s="68">
        <v>190</v>
      </c>
      <c r="J320" s="66"/>
    </row>
    <row r="321" spans="1:10" ht="10.5">
      <c r="A321" s="65">
        <v>256062</v>
      </c>
      <c r="B321" s="57">
        <v>38718</v>
      </c>
      <c r="C321" s="59">
        <v>530000</v>
      </c>
      <c r="D321" s="58">
        <f>VLOOKUP(C321,Comptes!$A$2:$B$60,2,FALSE)</f>
        <v>0</v>
      </c>
      <c r="E321" s="59">
        <v>756000</v>
      </c>
      <c r="F321" s="58">
        <f>VLOOKUP(E321,Comptes!$A$2:$B$60,2,FALSE)</f>
        <v>0</v>
      </c>
      <c r="G321" s="59"/>
      <c r="H321" s="63"/>
      <c r="I321" s="68">
        <v>64</v>
      </c>
      <c r="J321" s="66"/>
    </row>
    <row r="322" spans="1:10" ht="10.5">
      <c r="A322" s="65">
        <v>256062</v>
      </c>
      <c r="B322" s="57">
        <v>38718</v>
      </c>
      <c r="C322" s="59">
        <v>530000</v>
      </c>
      <c r="D322" s="58">
        <f>VLOOKUP(C322,Comptes!$A$2:$B$60,2,FALSE)</f>
        <v>0</v>
      </c>
      <c r="E322" s="59">
        <v>754000</v>
      </c>
      <c r="F322" s="58">
        <f>VLOOKUP(E322,Comptes!$A$2:$B$60,2,FALSE)</f>
        <v>0</v>
      </c>
      <c r="G322" s="59"/>
      <c r="H322" s="63"/>
      <c r="I322" s="68">
        <v>34</v>
      </c>
      <c r="J322" s="66"/>
    </row>
    <row r="323" spans="1:10" ht="10.5">
      <c r="A323" s="65">
        <v>256063</v>
      </c>
      <c r="B323" s="57">
        <v>38719</v>
      </c>
      <c r="C323" s="59">
        <v>512000</v>
      </c>
      <c r="D323" s="58">
        <f>VLOOKUP(C323,Comptes!$A$2:$B$60,2,FALSE)</f>
        <v>0</v>
      </c>
      <c r="E323" s="59">
        <v>706100</v>
      </c>
      <c r="F323" s="58">
        <f>VLOOKUP(E323,Comptes!$A$2:$B$60,2,FALSE)</f>
        <v>0</v>
      </c>
      <c r="G323" s="59" t="s">
        <v>170</v>
      </c>
      <c r="H323" s="59" t="s">
        <v>427</v>
      </c>
      <c r="I323" s="68">
        <v>180</v>
      </c>
      <c r="J323" s="66"/>
    </row>
    <row r="324" spans="1:10" ht="10.5">
      <c r="A324" s="65">
        <v>256063</v>
      </c>
      <c r="B324" s="57">
        <v>38719</v>
      </c>
      <c r="C324" s="59">
        <v>512000</v>
      </c>
      <c r="D324" s="58">
        <f>VLOOKUP(C324,Comptes!$A$2:$B$60,2,FALSE)</f>
        <v>0</v>
      </c>
      <c r="E324" s="59">
        <v>706420</v>
      </c>
      <c r="F324" s="58">
        <f>VLOOKUP(E324,Comptes!$A$2:$B$60,2,FALSE)</f>
        <v>0</v>
      </c>
      <c r="G324" s="59" t="s">
        <v>170</v>
      </c>
      <c r="H324" s="59" t="s">
        <v>427</v>
      </c>
      <c r="I324" s="68">
        <v>210</v>
      </c>
      <c r="J324" s="175"/>
    </row>
    <row r="325" spans="1:10" ht="10.5">
      <c r="A325" s="65">
        <v>256063</v>
      </c>
      <c r="B325" s="57">
        <v>38719</v>
      </c>
      <c r="C325" s="59">
        <v>512000</v>
      </c>
      <c r="D325" s="58">
        <f>VLOOKUP(C325,Comptes!$A$2:$B$60,2,FALSE)</f>
        <v>0</v>
      </c>
      <c r="E325" s="59">
        <v>756000</v>
      </c>
      <c r="F325" s="58">
        <f>VLOOKUP(E325,Comptes!$A$2:$B$60,2,FALSE)</f>
        <v>0</v>
      </c>
      <c r="G325" s="59" t="s">
        <v>170</v>
      </c>
      <c r="H325" s="59" t="s">
        <v>427</v>
      </c>
      <c r="I325" s="68">
        <v>112</v>
      </c>
      <c r="J325" s="66"/>
    </row>
    <row r="326" spans="1:10" ht="10.5">
      <c r="A326" s="65">
        <v>256063</v>
      </c>
      <c r="B326" s="57">
        <v>38719</v>
      </c>
      <c r="C326" s="59">
        <v>512000</v>
      </c>
      <c r="D326" s="58">
        <f>VLOOKUP(C326,Comptes!$A$2:$B$60,2,FALSE)</f>
        <v>0</v>
      </c>
      <c r="E326" s="59">
        <v>706100</v>
      </c>
      <c r="F326" s="58">
        <f>VLOOKUP(E326,Comptes!$A$2:$B$60,2,FALSE)</f>
        <v>0</v>
      </c>
      <c r="G326" s="59" t="s">
        <v>164</v>
      </c>
      <c r="H326" s="59" t="s">
        <v>427</v>
      </c>
      <c r="I326" s="68">
        <v>345</v>
      </c>
      <c r="J326" s="66"/>
    </row>
    <row r="327" spans="1:10" ht="10.5">
      <c r="A327" s="65">
        <v>256063</v>
      </c>
      <c r="B327" s="57">
        <v>38719</v>
      </c>
      <c r="C327" s="59">
        <v>512000</v>
      </c>
      <c r="D327" s="58">
        <f>VLOOKUP(C327,Comptes!$A$2:$B$60,2,FALSE)</f>
        <v>0</v>
      </c>
      <c r="E327" s="59">
        <v>706420</v>
      </c>
      <c r="F327" s="58">
        <f>VLOOKUP(E327,Comptes!$A$2:$B$60,2,FALSE)</f>
        <v>0</v>
      </c>
      <c r="G327" s="59" t="s">
        <v>164</v>
      </c>
      <c r="H327" s="59" t="s">
        <v>427</v>
      </c>
      <c r="I327" s="68">
        <v>70</v>
      </c>
      <c r="J327" s="66"/>
    </row>
    <row r="328" spans="1:10" ht="10.5">
      <c r="A328" s="65">
        <v>256064</v>
      </c>
      <c r="B328" s="57">
        <v>38721</v>
      </c>
      <c r="C328" s="59">
        <v>615000</v>
      </c>
      <c r="D328" s="58">
        <f>VLOOKUP(C328,Comptes!$A$2:$B$60,2,FALSE)</f>
        <v>0</v>
      </c>
      <c r="E328" s="59">
        <v>512000</v>
      </c>
      <c r="F328" s="58">
        <f>VLOOKUP(E328,Comptes!$A$2:$B$60,2,FALSE)</f>
        <v>0</v>
      </c>
      <c r="G328" s="59" t="s">
        <v>450</v>
      </c>
      <c r="H328" s="59" t="s">
        <v>444</v>
      </c>
      <c r="I328" s="68">
        <v>246.48</v>
      </c>
      <c r="J328" s="66"/>
    </row>
    <row r="329" spans="1:10" ht="10.5">
      <c r="A329" s="65">
        <v>256065</v>
      </c>
      <c r="B329" s="57">
        <v>38722</v>
      </c>
      <c r="C329" s="60">
        <v>645000</v>
      </c>
      <c r="D329" s="58">
        <f>VLOOKUP(C329,Comptes!$A$2:$B$60,2,FALSE)</f>
        <v>0</v>
      </c>
      <c r="E329" s="62">
        <v>512000</v>
      </c>
      <c r="F329" s="58">
        <f>VLOOKUP(E329,Comptes!$A$2:$B$60,2,FALSE)</f>
        <v>0</v>
      </c>
      <c r="G329" s="59" t="s">
        <v>184</v>
      </c>
      <c r="H329" s="59" t="s">
        <v>444</v>
      </c>
      <c r="I329" s="61">
        <v>1837</v>
      </c>
      <c r="J329" s="64"/>
    </row>
    <row r="330" spans="1:10" ht="10.5">
      <c r="A330" s="65">
        <v>256065</v>
      </c>
      <c r="B330" s="57">
        <v>38722</v>
      </c>
      <c r="C330" s="60">
        <v>645000</v>
      </c>
      <c r="D330" s="58">
        <f>VLOOKUP(C330,Comptes!$A$2:$B$60,2,FALSE)</f>
        <v>0</v>
      </c>
      <c r="E330" s="62">
        <v>512000</v>
      </c>
      <c r="F330" s="58">
        <f>VLOOKUP(E330,Comptes!$A$2:$B$60,2,FALSE)</f>
        <v>0</v>
      </c>
      <c r="G330" s="59" t="s">
        <v>184</v>
      </c>
      <c r="H330" s="59" t="s">
        <v>448</v>
      </c>
      <c r="I330" s="61">
        <v>485</v>
      </c>
      <c r="J330" s="64"/>
    </row>
    <row r="331" spans="1:10" ht="10.5">
      <c r="A331" s="65">
        <v>256065</v>
      </c>
      <c r="B331" s="57">
        <v>38722</v>
      </c>
      <c r="C331" s="60">
        <v>645000</v>
      </c>
      <c r="D331" s="58">
        <f>VLOOKUP(C331,Comptes!$A$2:$B$60,2,FALSE)</f>
        <v>0</v>
      </c>
      <c r="E331" s="62">
        <v>512000</v>
      </c>
      <c r="F331" s="58">
        <f>VLOOKUP(E331,Comptes!$A$2:$B$60,2,FALSE)</f>
        <v>0</v>
      </c>
      <c r="G331" s="59" t="s">
        <v>184</v>
      </c>
      <c r="H331" s="59" t="s">
        <v>444</v>
      </c>
      <c r="I331" s="61">
        <v>339</v>
      </c>
      <c r="J331" s="64"/>
    </row>
    <row r="332" spans="1:10" ht="10.5">
      <c r="A332" s="65">
        <v>256066</v>
      </c>
      <c r="B332" s="57">
        <v>38727</v>
      </c>
      <c r="C332" s="59">
        <v>606400</v>
      </c>
      <c r="D332" s="58">
        <f>VLOOKUP(C332,Comptes!$A$2:$B$60,2,FALSE)</f>
        <v>0</v>
      </c>
      <c r="E332" s="59">
        <v>530000</v>
      </c>
      <c r="F332" s="58">
        <f>VLOOKUP(E332,Comptes!$A$2:$B$60,2,FALSE)</f>
        <v>0</v>
      </c>
      <c r="G332" s="59"/>
      <c r="H332" s="63"/>
      <c r="I332" s="68">
        <v>520.99</v>
      </c>
      <c r="J332" s="64"/>
    </row>
    <row r="333" spans="1:10" ht="10.5">
      <c r="A333" s="65">
        <v>256066</v>
      </c>
      <c r="B333" s="57">
        <v>38727</v>
      </c>
      <c r="C333" s="59">
        <v>606400</v>
      </c>
      <c r="D333" s="58">
        <f>VLOOKUP(C333,Comptes!$A$2:$B$60,2,FALSE)</f>
        <v>0</v>
      </c>
      <c r="E333" s="59">
        <v>530000</v>
      </c>
      <c r="F333" s="58">
        <f>VLOOKUP(E333,Comptes!$A$2:$B$60,2,FALSE)</f>
        <v>0</v>
      </c>
      <c r="G333" s="59"/>
      <c r="H333" s="63"/>
      <c r="I333" s="68">
        <f>675.81-520.99</f>
        <v>154.81999999999994</v>
      </c>
      <c r="J333" s="64"/>
    </row>
    <row r="334" spans="1:10" ht="10.5">
      <c r="A334" s="65">
        <v>256067</v>
      </c>
      <c r="B334" s="57">
        <v>38727</v>
      </c>
      <c r="C334" s="60">
        <v>613200</v>
      </c>
      <c r="D334" s="58">
        <f>VLOOKUP(C334,Comptes!$A$2:$B$60,2,FALSE)</f>
        <v>0</v>
      </c>
      <c r="E334" s="62">
        <v>512000</v>
      </c>
      <c r="F334" s="58">
        <f>VLOOKUP(E334,Comptes!$A$2:$B$60,2,FALSE)</f>
        <v>0</v>
      </c>
      <c r="G334" s="59" t="s">
        <v>178</v>
      </c>
      <c r="H334" s="59" t="s">
        <v>427</v>
      </c>
      <c r="I334" s="61">
        <v>963.5</v>
      </c>
      <c r="J334" s="64"/>
    </row>
    <row r="335" spans="1:10" ht="10.5">
      <c r="A335" s="65">
        <v>256068</v>
      </c>
      <c r="B335" s="57">
        <v>38730</v>
      </c>
      <c r="C335" s="59">
        <v>606700</v>
      </c>
      <c r="D335" s="58">
        <f>VLOOKUP(C335,Comptes!$A$2:$B$60,2,FALSE)</f>
        <v>0</v>
      </c>
      <c r="E335" s="59">
        <v>512000</v>
      </c>
      <c r="F335" s="58">
        <f>VLOOKUP(E335,Comptes!$A$2:$B$60,2,FALSE)</f>
        <v>0</v>
      </c>
      <c r="G335" s="59" t="s">
        <v>451</v>
      </c>
      <c r="H335" s="59" t="s">
        <v>444</v>
      </c>
      <c r="I335" s="68">
        <v>42.22</v>
      </c>
      <c r="J335" s="66"/>
    </row>
    <row r="336" spans="1:10" ht="10.5">
      <c r="A336" s="65">
        <v>256068</v>
      </c>
      <c r="B336" s="57">
        <v>38730</v>
      </c>
      <c r="C336" s="59">
        <v>626000</v>
      </c>
      <c r="D336" s="58">
        <f>VLOOKUP(C336,Comptes!$A$2:$B$60,2,FALSE)</f>
        <v>0</v>
      </c>
      <c r="E336" s="59">
        <v>530000</v>
      </c>
      <c r="F336" s="58">
        <f>VLOOKUP(E336,Comptes!$A$2:$B$60,2,FALSE)</f>
        <v>0</v>
      </c>
      <c r="G336" s="59"/>
      <c r="H336" s="63"/>
      <c r="I336" s="68">
        <v>3.03</v>
      </c>
      <c r="J336" s="66"/>
    </row>
    <row r="337" spans="1:10" ht="10.5">
      <c r="A337" s="65">
        <v>256068</v>
      </c>
      <c r="B337" s="57">
        <v>38730</v>
      </c>
      <c r="C337" s="59">
        <v>606700</v>
      </c>
      <c r="D337" s="58">
        <f>VLOOKUP(C337,Comptes!$A$2:$B$60,2,FALSE)</f>
        <v>0</v>
      </c>
      <c r="E337" s="59">
        <v>530000</v>
      </c>
      <c r="F337" s="58">
        <f>VLOOKUP(E337,Comptes!$A$2:$B$60,2,FALSE)</f>
        <v>0</v>
      </c>
      <c r="G337" s="59"/>
      <c r="H337" s="63"/>
      <c r="I337" s="68">
        <v>4.69</v>
      </c>
      <c r="J337" s="64"/>
    </row>
    <row r="338" spans="1:10" ht="10.5">
      <c r="A338" s="65">
        <v>256068</v>
      </c>
      <c r="B338" s="57">
        <v>38730</v>
      </c>
      <c r="C338" s="59">
        <v>606700</v>
      </c>
      <c r="D338" s="58">
        <f>VLOOKUP(C338,Comptes!$A$2:$B$60,2,FALSE)</f>
        <v>0</v>
      </c>
      <c r="E338" s="59">
        <v>512000</v>
      </c>
      <c r="F338" s="58">
        <f>VLOOKUP(E338,Comptes!$A$2:$B$60,2,FALSE)</f>
        <v>0</v>
      </c>
      <c r="G338" s="59" t="s">
        <v>452</v>
      </c>
      <c r="H338" s="59" t="s">
        <v>444</v>
      </c>
      <c r="I338" s="68">
        <v>15.4</v>
      </c>
      <c r="J338" s="66"/>
    </row>
    <row r="339" spans="1:10" ht="10.5">
      <c r="A339" s="65">
        <v>256068</v>
      </c>
      <c r="B339" s="57">
        <v>38730</v>
      </c>
      <c r="C339" s="59">
        <v>606700</v>
      </c>
      <c r="D339" s="58">
        <f>VLOOKUP(C339,Comptes!$A$2:$B$60,2,FALSE)</f>
        <v>0</v>
      </c>
      <c r="E339" s="59">
        <v>512000</v>
      </c>
      <c r="F339" s="58">
        <f>VLOOKUP(E339,Comptes!$A$2:$B$60,2,FALSE)</f>
        <v>0</v>
      </c>
      <c r="G339" s="59" t="s">
        <v>453</v>
      </c>
      <c r="H339" s="59" t="s">
        <v>444</v>
      </c>
      <c r="I339" s="68">
        <v>168.12</v>
      </c>
      <c r="J339" s="66"/>
    </row>
    <row r="340" spans="1:10" ht="10.5">
      <c r="A340" s="65">
        <v>256068</v>
      </c>
      <c r="B340" s="57">
        <v>38730</v>
      </c>
      <c r="C340" s="59">
        <v>626000</v>
      </c>
      <c r="D340" s="58">
        <f>VLOOKUP(C340,Comptes!$A$2:$B$60,2,FALSE)</f>
        <v>0</v>
      </c>
      <c r="E340" s="59">
        <v>530000</v>
      </c>
      <c r="F340" s="58">
        <f>VLOOKUP(E340,Comptes!$A$2:$B$60,2,FALSE)</f>
        <v>0</v>
      </c>
      <c r="G340" s="59"/>
      <c r="H340" s="63"/>
      <c r="I340" s="68">
        <v>48</v>
      </c>
      <c r="J340" s="66"/>
    </row>
    <row r="341" spans="1:10" ht="10.5">
      <c r="A341" s="65">
        <v>245163</v>
      </c>
      <c r="B341" s="57">
        <v>38730</v>
      </c>
      <c r="C341" s="60">
        <v>606110</v>
      </c>
      <c r="D341" s="58">
        <f>VLOOKUP(C341,Comptes!$A$2:$B$60,2,FALSE)</f>
        <v>0</v>
      </c>
      <c r="E341" s="59">
        <v>512000</v>
      </c>
      <c r="F341" s="58">
        <f>VLOOKUP(E341,Comptes!$A$2:$B$60,2,FALSE)</f>
        <v>0</v>
      </c>
      <c r="G341" s="59" t="s">
        <v>178</v>
      </c>
      <c r="H341" s="59" t="s">
        <v>427</v>
      </c>
      <c r="I341" s="61">
        <v>149</v>
      </c>
      <c r="J341" s="64"/>
    </row>
    <row r="342" spans="1:10" ht="10.5">
      <c r="A342" s="65">
        <v>256069</v>
      </c>
      <c r="B342" s="57">
        <v>38731</v>
      </c>
      <c r="C342" s="60">
        <v>626500</v>
      </c>
      <c r="D342" s="58">
        <f>VLOOKUP(C342,Comptes!$A$2:$B$60,2,FALSE)</f>
        <v>0</v>
      </c>
      <c r="E342" s="59">
        <v>512000</v>
      </c>
      <c r="F342" s="58">
        <f>VLOOKUP(E342,Comptes!$A$2:$B$60,2,FALSE)</f>
        <v>0</v>
      </c>
      <c r="G342" s="36" t="s">
        <v>178</v>
      </c>
      <c r="H342" s="59" t="s">
        <v>444</v>
      </c>
      <c r="I342" s="61">
        <v>19.9</v>
      </c>
      <c r="J342" s="35"/>
    </row>
    <row r="343" spans="1:10" ht="10.5">
      <c r="A343" s="65">
        <v>256070</v>
      </c>
      <c r="B343" s="57">
        <v>38734</v>
      </c>
      <c r="C343" s="59">
        <v>512000</v>
      </c>
      <c r="D343" s="58">
        <f>VLOOKUP(C343,Comptes!$A$2:$B$60,2,FALSE)</f>
        <v>0</v>
      </c>
      <c r="E343" s="59">
        <v>706210</v>
      </c>
      <c r="F343" s="58">
        <f>VLOOKUP(E343,Comptes!$A$2:$B$60,2,FALSE)</f>
        <v>0</v>
      </c>
      <c r="G343" s="59" t="s">
        <v>170</v>
      </c>
      <c r="H343" s="59" t="s">
        <v>444</v>
      </c>
      <c r="I343" s="68">
        <v>162</v>
      </c>
      <c r="J343" s="66"/>
    </row>
    <row r="344" spans="1:10" ht="10.5">
      <c r="A344" s="65">
        <v>256070</v>
      </c>
      <c r="B344" s="57">
        <v>38734</v>
      </c>
      <c r="C344" s="59">
        <v>512000</v>
      </c>
      <c r="D344" s="58">
        <f>VLOOKUP(C344,Comptes!$A$2:$B$60,2,FALSE)</f>
        <v>0</v>
      </c>
      <c r="E344" s="59">
        <v>706220</v>
      </c>
      <c r="F344" s="58">
        <f>VLOOKUP(E344,Comptes!$A$2:$B$60,2,FALSE)</f>
        <v>0</v>
      </c>
      <c r="G344" s="59" t="s">
        <v>170</v>
      </c>
      <c r="H344" s="59" t="s">
        <v>444</v>
      </c>
      <c r="I344" s="68">
        <v>155</v>
      </c>
      <c r="J344" s="175"/>
    </row>
    <row r="345" spans="1:10" ht="10.5">
      <c r="A345" s="65">
        <v>256070</v>
      </c>
      <c r="B345" s="57">
        <v>38734</v>
      </c>
      <c r="C345" s="59">
        <v>512000</v>
      </c>
      <c r="D345" s="58">
        <f>VLOOKUP(C345,Comptes!$A$2:$B$60,2,FALSE)</f>
        <v>0</v>
      </c>
      <c r="E345" s="59">
        <v>706230</v>
      </c>
      <c r="F345" s="58">
        <f>VLOOKUP(E345,Comptes!$A$2:$B$60,2,FALSE)</f>
        <v>0</v>
      </c>
      <c r="G345" s="59" t="s">
        <v>170</v>
      </c>
      <c r="H345" s="59" t="s">
        <v>444</v>
      </c>
      <c r="I345" s="68">
        <v>272</v>
      </c>
      <c r="J345" s="66"/>
    </row>
    <row r="346" spans="1:10" ht="10.5">
      <c r="A346" s="65">
        <v>256070</v>
      </c>
      <c r="B346" s="57">
        <v>38734</v>
      </c>
      <c r="C346" s="59">
        <v>512000</v>
      </c>
      <c r="D346" s="58">
        <f>VLOOKUP(C346,Comptes!$A$2:$B$60,2,FALSE)</f>
        <v>0</v>
      </c>
      <c r="E346" s="59">
        <v>756000</v>
      </c>
      <c r="F346" s="58">
        <f>VLOOKUP(E346,Comptes!$A$2:$B$60,2,FALSE)</f>
        <v>0</v>
      </c>
      <c r="G346" s="59" t="s">
        <v>170</v>
      </c>
      <c r="H346" s="59" t="s">
        <v>444</v>
      </c>
      <c r="I346" s="68">
        <v>32</v>
      </c>
      <c r="J346" s="66"/>
    </row>
    <row r="347" spans="1:10" ht="10.5">
      <c r="A347" s="65">
        <v>256070</v>
      </c>
      <c r="B347" s="57">
        <v>38734</v>
      </c>
      <c r="C347" s="59">
        <v>512000</v>
      </c>
      <c r="D347" s="58">
        <f>VLOOKUP(C347,Comptes!$A$2:$B$60,2,FALSE)</f>
        <v>0</v>
      </c>
      <c r="E347" s="59">
        <v>756000</v>
      </c>
      <c r="F347" s="58">
        <f>VLOOKUP(E347,Comptes!$A$2:$B$60,2,FALSE)</f>
        <v>0</v>
      </c>
      <c r="G347" s="59" t="s">
        <v>170</v>
      </c>
      <c r="H347" s="59" t="s">
        <v>444</v>
      </c>
      <c r="I347" s="68">
        <v>202</v>
      </c>
      <c r="J347" s="66"/>
    </row>
    <row r="348" spans="1:10" ht="10.5">
      <c r="A348" s="65">
        <v>256070</v>
      </c>
      <c r="B348" s="57">
        <v>38734</v>
      </c>
      <c r="C348" s="59">
        <v>512000</v>
      </c>
      <c r="D348" s="58">
        <f>VLOOKUP(C348,Comptes!$A$2:$B$60,2,FALSE)</f>
        <v>0</v>
      </c>
      <c r="E348" s="59">
        <v>708000</v>
      </c>
      <c r="F348" s="58">
        <f>VLOOKUP(E348,Comptes!$A$2:$B$60,2,FALSE)</f>
        <v>0</v>
      </c>
      <c r="G348" s="59" t="s">
        <v>170</v>
      </c>
      <c r="H348" s="59" t="s">
        <v>444</v>
      </c>
      <c r="I348" s="68">
        <v>76</v>
      </c>
      <c r="J348" s="66"/>
    </row>
    <row r="349" spans="1:10" ht="10.5">
      <c r="A349" s="65">
        <v>256070</v>
      </c>
      <c r="B349" s="57">
        <v>38734</v>
      </c>
      <c r="C349" s="59">
        <v>512000</v>
      </c>
      <c r="D349" s="58">
        <f>VLOOKUP(C349,Comptes!$A$2:$B$60,2,FALSE)</f>
        <v>0</v>
      </c>
      <c r="E349" s="59">
        <v>754000</v>
      </c>
      <c r="F349" s="58">
        <f>VLOOKUP(E349,Comptes!$A$2:$B$60,2,FALSE)</f>
        <v>0</v>
      </c>
      <c r="G349" s="59" t="s">
        <v>170</v>
      </c>
      <c r="H349" s="59" t="s">
        <v>444</v>
      </c>
      <c r="I349" s="68">
        <v>200</v>
      </c>
      <c r="J349" s="66"/>
    </row>
    <row r="350" spans="1:10" ht="10.5">
      <c r="A350" s="65">
        <v>256070</v>
      </c>
      <c r="B350" s="57">
        <v>38734</v>
      </c>
      <c r="C350" s="59">
        <v>530000</v>
      </c>
      <c r="D350" s="58">
        <f>VLOOKUP(C350,Comptes!$A$2:$B$60,2,FALSE)</f>
        <v>0</v>
      </c>
      <c r="E350" s="59">
        <v>706210</v>
      </c>
      <c r="F350" s="58">
        <f>VLOOKUP(E350,Comptes!$A$2:$B$60,2,FALSE)</f>
        <v>0</v>
      </c>
      <c r="G350" s="59"/>
      <c r="H350" s="63"/>
      <c r="I350" s="68">
        <v>120</v>
      </c>
      <c r="J350" s="66"/>
    </row>
    <row r="351" spans="1:10" ht="10.5">
      <c r="A351" s="65">
        <v>256070</v>
      </c>
      <c r="B351" s="57">
        <v>38734</v>
      </c>
      <c r="C351" s="59">
        <v>530000</v>
      </c>
      <c r="D351" s="58">
        <f>VLOOKUP(C351,Comptes!$A$2:$B$60,2,FALSE)</f>
        <v>0</v>
      </c>
      <c r="E351" s="59">
        <v>706220</v>
      </c>
      <c r="F351" s="58">
        <f>VLOOKUP(E351,Comptes!$A$2:$B$60,2,FALSE)</f>
        <v>0</v>
      </c>
      <c r="G351" s="59"/>
      <c r="H351" s="63"/>
      <c r="I351" s="68">
        <v>80</v>
      </c>
      <c r="J351" s="66"/>
    </row>
    <row r="352" spans="1:10" ht="10.5">
      <c r="A352" s="65">
        <v>256070</v>
      </c>
      <c r="B352" s="57">
        <v>38734</v>
      </c>
      <c r="C352" s="59">
        <v>530000</v>
      </c>
      <c r="D352" s="58">
        <f>VLOOKUP(C352,Comptes!$A$2:$B$60,2,FALSE)</f>
        <v>0</v>
      </c>
      <c r="E352" s="59">
        <v>706230</v>
      </c>
      <c r="F352" s="58">
        <f>VLOOKUP(E352,Comptes!$A$2:$B$60,2,FALSE)</f>
        <v>0</v>
      </c>
      <c r="G352" s="59"/>
      <c r="H352" s="63"/>
      <c r="I352" s="68">
        <v>152</v>
      </c>
      <c r="J352" s="66"/>
    </row>
    <row r="353" spans="1:10" ht="10.5">
      <c r="A353" s="65">
        <v>256070</v>
      </c>
      <c r="B353" s="57">
        <v>38734</v>
      </c>
      <c r="C353" s="59">
        <v>530000</v>
      </c>
      <c r="D353" s="58">
        <f>VLOOKUP(C353,Comptes!$A$2:$B$60,2,FALSE)</f>
        <v>0</v>
      </c>
      <c r="E353" s="59">
        <v>756000</v>
      </c>
      <c r="F353" s="58">
        <f>VLOOKUP(E353,Comptes!$A$2:$B$60,2,FALSE)</f>
        <v>0</v>
      </c>
      <c r="G353" s="59"/>
      <c r="H353" s="63"/>
      <c r="I353" s="68">
        <v>32</v>
      </c>
      <c r="J353" s="66"/>
    </row>
    <row r="354" spans="1:10" ht="10.5">
      <c r="A354" s="65">
        <v>256070</v>
      </c>
      <c r="B354" s="57">
        <v>38734</v>
      </c>
      <c r="C354" s="59">
        <v>530000</v>
      </c>
      <c r="D354" s="58">
        <f>VLOOKUP(C354,Comptes!$A$2:$B$60,2,FALSE)</f>
        <v>0</v>
      </c>
      <c r="E354" s="59">
        <v>708000</v>
      </c>
      <c r="F354" s="58">
        <f>VLOOKUP(E354,Comptes!$A$2:$B$60,2,FALSE)</f>
        <v>0</v>
      </c>
      <c r="G354" s="59"/>
      <c r="H354" s="63"/>
      <c r="I354" s="68">
        <v>8</v>
      </c>
      <c r="J354" s="66"/>
    </row>
    <row r="355" spans="1:10" ht="10.5">
      <c r="A355" s="65">
        <v>256071</v>
      </c>
      <c r="B355" s="57">
        <v>38730</v>
      </c>
      <c r="C355" s="59">
        <v>530000</v>
      </c>
      <c r="D355" s="58">
        <f>VLOOKUP(C355,Comptes!$A$2:$B$60,2,FALSE)</f>
        <v>0</v>
      </c>
      <c r="E355" s="59">
        <v>706230</v>
      </c>
      <c r="F355" s="58">
        <f>VLOOKUP(E355,Comptes!$A$2:$B$60,2,FALSE)</f>
        <v>0</v>
      </c>
      <c r="G355" s="59"/>
      <c r="H355" s="63"/>
      <c r="I355" s="68">
        <v>20</v>
      </c>
      <c r="J355" s="66"/>
    </row>
    <row r="356" spans="1:10" ht="10.5">
      <c r="A356" s="65">
        <v>256071</v>
      </c>
      <c r="B356" s="57">
        <v>38730</v>
      </c>
      <c r="C356" s="59">
        <v>530000</v>
      </c>
      <c r="D356" s="58">
        <f>VLOOKUP(C356,Comptes!$A$2:$B$60,2,FALSE)</f>
        <v>0</v>
      </c>
      <c r="E356" s="59">
        <v>706220</v>
      </c>
      <c r="F356" s="58">
        <f>VLOOKUP(E356,Comptes!$A$2:$B$60,2,FALSE)</f>
        <v>0</v>
      </c>
      <c r="G356" s="59"/>
      <c r="H356" s="63"/>
      <c r="I356" s="68">
        <v>10</v>
      </c>
      <c r="J356" s="66"/>
    </row>
    <row r="357" spans="1:10" ht="10.5">
      <c r="A357" s="65">
        <v>256071</v>
      </c>
      <c r="B357" s="57">
        <v>38730</v>
      </c>
      <c r="C357" s="59">
        <v>530000</v>
      </c>
      <c r="D357" s="58">
        <f>VLOOKUP(C357,Comptes!$A$2:$B$60,2,FALSE)</f>
        <v>0</v>
      </c>
      <c r="E357" s="59">
        <v>606150</v>
      </c>
      <c r="F357" s="58">
        <f>VLOOKUP(E357,Comptes!$A$2:$B$60,2,FALSE)</f>
        <v>0</v>
      </c>
      <c r="G357" s="59"/>
      <c r="H357" s="63"/>
      <c r="I357" s="68">
        <v>24.8</v>
      </c>
      <c r="J357" s="66"/>
    </row>
    <row r="358" spans="1:10" ht="10.5">
      <c r="A358" s="65">
        <v>256072</v>
      </c>
      <c r="B358" s="57">
        <v>38737</v>
      </c>
      <c r="C358" s="59">
        <v>606700</v>
      </c>
      <c r="D358" s="58">
        <f>VLOOKUP(C358,Comptes!$A$2:$B$60,2,FALSE)</f>
        <v>0</v>
      </c>
      <c r="E358" s="59">
        <v>530000</v>
      </c>
      <c r="F358" s="58">
        <f>VLOOKUP(E358,Comptes!$A$2:$B$60,2,FALSE)</f>
        <v>0</v>
      </c>
      <c r="G358" s="59"/>
      <c r="H358" s="63"/>
      <c r="I358" s="68">
        <v>20</v>
      </c>
      <c r="J358" s="66"/>
    </row>
    <row r="359" spans="1:10" ht="10.5">
      <c r="A359" s="65">
        <v>256072</v>
      </c>
      <c r="B359" s="57">
        <v>38737</v>
      </c>
      <c r="C359" s="59">
        <v>606700</v>
      </c>
      <c r="D359" s="58">
        <f>VLOOKUP(C359,Comptes!$A$2:$B$60,2,FALSE)</f>
        <v>0</v>
      </c>
      <c r="E359" s="59">
        <v>530000</v>
      </c>
      <c r="F359" s="58">
        <f>VLOOKUP(E359,Comptes!$A$2:$B$60,2,FALSE)</f>
        <v>0</v>
      </c>
      <c r="G359" s="59"/>
      <c r="H359" s="63"/>
      <c r="I359" s="68">
        <f>11.65+16.7</f>
        <v>28.35</v>
      </c>
      <c r="J359" s="66"/>
    </row>
    <row r="360" spans="1:10" ht="10.5">
      <c r="A360" s="65">
        <v>256072</v>
      </c>
      <c r="B360" s="57">
        <v>38737</v>
      </c>
      <c r="C360" s="59">
        <v>606700</v>
      </c>
      <c r="D360" s="58">
        <f>VLOOKUP(C360,Comptes!$A$2:$B$60,2,FALSE)</f>
        <v>0</v>
      </c>
      <c r="E360" s="59">
        <v>512000</v>
      </c>
      <c r="F360" s="58">
        <f>VLOOKUP(E360,Comptes!$A$2:$B$60,2,FALSE)</f>
        <v>0</v>
      </c>
      <c r="G360" s="59" t="s">
        <v>454</v>
      </c>
      <c r="H360" s="59" t="s">
        <v>444</v>
      </c>
      <c r="I360" s="68">
        <v>101.65</v>
      </c>
      <c r="J360" s="66"/>
    </row>
    <row r="361" spans="1:10" ht="10.5">
      <c r="A361" s="65">
        <v>256072</v>
      </c>
      <c r="B361" s="57">
        <v>38737</v>
      </c>
      <c r="C361" s="59">
        <v>606150</v>
      </c>
      <c r="D361" s="58">
        <f>VLOOKUP(C361,Comptes!$A$2:$B$60,2,FALSE)</f>
        <v>0</v>
      </c>
      <c r="E361" s="59">
        <v>512000</v>
      </c>
      <c r="F361" s="58">
        <f>VLOOKUP(E361,Comptes!$A$2:$B$60,2,FALSE)</f>
        <v>0</v>
      </c>
      <c r="G361" s="59" t="s">
        <v>455</v>
      </c>
      <c r="H361" s="59" t="s">
        <v>444</v>
      </c>
      <c r="I361" s="68">
        <v>49.6</v>
      </c>
      <c r="J361" s="66"/>
    </row>
    <row r="362" spans="1:10" ht="10.5">
      <c r="A362" s="65">
        <v>256072</v>
      </c>
      <c r="B362" s="57">
        <v>38737</v>
      </c>
      <c r="C362" s="59">
        <v>606400</v>
      </c>
      <c r="D362" s="58">
        <f>VLOOKUP(C362,Comptes!$A$2:$B$60,2,FALSE)</f>
        <v>0</v>
      </c>
      <c r="E362" s="59">
        <v>530000</v>
      </c>
      <c r="F362" s="58">
        <f>VLOOKUP(E362,Comptes!$A$2:$B$60,2,FALSE)</f>
        <v>0</v>
      </c>
      <c r="G362" s="59"/>
      <c r="H362" s="63"/>
      <c r="I362" s="68">
        <v>14.7</v>
      </c>
      <c r="J362" s="66"/>
    </row>
    <row r="363" spans="1:10" ht="10.5">
      <c r="A363" s="65">
        <v>256073</v>
      </c>
      <c r="B363" s="57">
        <v>38740</v>
      </c>
      <c r="C363" s="59">
        <v>630000</v>
      </c>
      <c r="D363" s="58">
        <f>VLOOKUP(C363,Comptes!$A$2:$B$60,2,FALSE)</f>
        <v>0</v>
      </c>
      <c r="E363" s="59">
        <v>512000</v>
      </c>
      <c r="F363" s="58">
        <f>VLOOKUP(E363,Comptes!$A$2:$B$60,2,FALSE)</f>
        <v>0</v>
      </c>
      <c r="G363" s="59" t="s">
        <v>456</v>
      </c>
      <c r="H363" s="59" t="s">
        <v>448</v>
      </c>
      <c r="I363" s="68">
        <v>2840</v>
      </c>
      <c r="J363" s="66"/>
    </row>
    <row r="364" spans="1:10" ht="10.5">
      <c r="A364" s="65">
        <v>256074</v>
      </c>
      <c r="B364" s="57">
        <v>38718</v>
      </c>
      <c r="C364" s="59">
        <v>512100</v>
      </c>
      <c r="D364" s="58">
        <f>VLOOKUP(C364,Comptes!$A$2:$B$60,2,FALSE)</f>
        <v>0</v>
      </c>
      <c r="E364" s="59">
        <v>761000</v>
      </c>
      <c r="F364" s="58">
        <f>VLOOKUP(E364,Comptes!$A$2:$B$60,2,FALSE)</f>
        <v>0</v>
      </c>
      <c r="G364" s="59" t="s">
        <v>171</v>
      </c>
      <c r="H364" s="63"/>
      <c r="I364" s="68">
        <v>152.38</v>
      </c>
      <c r="J364" s="66"/>
    </row>
    <row r="365" spans="1:10" ht="10.5">
      <c r="A365" s="65">
        <v>256075</v>
      </c>
      <c r="B365" s="57">
        <v>38720</v>
      </c>
      <c r="C365" s="60">
        <v>512000</v>
      </c>
      <c r="D365" s="58">
        <f>VLOOKUP(C365,Comptes!$A$2:$B$60,2,FALSE)</f>
        <v>0</v>
      </c>
      <c r="E365" s="59">
        <v>754000</v>
      </c>
      <c r="F365" s="58">
        <f>VLOOKUP(E365,Comptes!$A$2:$B$60,2,FALSE)</f>
        <v>0</v>
      </c>
      <c r="G365" s="59" t="s">
        <v>171</v>
      </c>
      <c r="H365" s="59" t="s">
        <v>427</v>
      </c>
      <c r="I365" s="61">
        <v>15.24</v>
      </c>
      <c r="J365" s="64"/>
    </row>
    <row r="366" spans="1:10" ht="10.5">
      <c r="A366" s="65">
        <v>256075</v>
      </c>
      <c r="B366" s="57">
        <v>38720</v>
      </c>
      <c r="C366" s="60">
        <v>512000</v>
      </c>
      <c r="D366" s="58">
        <f>VLOOKUP(C366,Comptes!$A$2:$B$60,2,FALSE)</f>
        <v>0</v>
      </c>
      <c r="E366" s="59">
        <v>754000</v>
      </c>
      <c r="F366" s="58">
        <f>VLOOKUP(E366,Comptes!$A$2:$B$60,2,FALSE)</f>
        <v>0</v>
      </c>
      <c r="G366" s="59" t="s">
        <v>171</v>
      </c>
      <c r="H366" s="59" t="s">
        <v>427</v>
      </c>
      <c r="I366" s="61">
        <v>150</v>
      </c>
      <c r="J366" s="64"/>
    </row>
    <row r="367" spans="1:10" ht="10.5">
      <c r="A367" s="65">
        <v>256075</v>
      </c>
      <c r="B367" s="57">
        <v>38722</v>
      </c>
      <c r="C367" s="60">
        <v>512000</v>
      </c>
      <c r="D367" s="58">
        <f>VLOOKUP(C367,Comptes!$A$2:$B$60,2,FALSE)</f>
        <v>0</v>
      </c>
      <c r="E367" s="59">
        <v>754000</v>
      </c>
      <c r="F367" s="58">
        <f>VLOOKUP(E367,Comptes!$A$2:$B$60,2,FALSE)</f>
        <v>0</v>
      </c>
      <c r="G367" s="59" t="s">
        <v>171</v>
      </c>
      <c r="H367" s="59" t="s">
        <v>427</v>
      </c>
      <c r="I367" s="61">
        <v>15</v>
      </c>
      <c r="J367" s="35"/>
    </row>
    <row r="368" spans="1:10" ht="10.5">
      <c r="A368" s="65">
        <v>256075</v>
      </c>
      <c r="B368" s="57">
        <v>38727</v>
      </c>
      <c r="C368" s="60">
        <v>512000</v>
      </c>
      <c r="D368" s="58">
        <f>VLOOKUP(C368,Comptes!$A$2:$B$60,2,FALSE)</f>
        <v>0</v>
      </c>
      <c r="E368" s="59">
        <v>754000</v>
      </c>
      <c r="F368" s="58">
        <f>VLOOKUP(E368,Comptes!$A$2:$B$60,2,FALSE)</f>
        <v>0</v>
      </c>
      <c r="G368" s="59" t="s">
        <v>171</v>
      </c>
      <c r="H368" s="59" t="s">
        <v>427</v>
      </c>
      <c r="I368" s="61">
        <v>15</v>
      </c>
      <c r="J368" s="64"/>
    </row>
    <row r="369" spans="1:10" ht="10.5">
      <c r="A369" s="65">
        <v>256076</v>
      </c>
      <c r="B369" s="57">
        <v>38744</v>
      </c>
      <c r="C369" s="60">
        <v>530000</v>
      </c>
      <c r="D369" s="58">
        <f>VLOOKUP(C369,Comptes!$A$2:$B$60,2,FALSE)</f>
        <v>0</v>
      </c>
      <c r="E369" s="59">
        <v>706230</v>
      </c>
      <c r="F369" s="58">
        <f>VLOOKUP(E369,Comptes!$A$2:$B$60,2,FALSE)</f>
        <v>0</v>
      </c>
      <c r="G369" s="59"/>
      <c r="H369" s="59"/>
      <c r="I369" s="61">
        <v>25</v>
      </c>
      <c r="J369" s="64"/>
    </row>
    <row r="370" spans="1:10" ht="10.5">
      <c r="A370" s="65">
        <v>256077</v>
      </c>
      <c r="B370" s="57">
        <v>38744</v>
      </c>
      <c r="C370" s="60">
        <v>606700</v>
      </c>
      <c r="D370" s="58">
        <f>VLOOKUP(C370,Comptes!$A$2:$B$60,2,FALSE)</f>
        <v>0</v>
      </c>
      <c r="E370" s="59">
        <v>530000</v>
      </c>
      <c r="F370" s="58">
        <f>VLOOKUP(E370,Comptes!$A$2:$B$60,2,FALSE)</f>
        <v>0</v>
      </c>
      <c r="G370" s="59"/>
      <c r="H370" s="59"/>
      <c r="I370" s="61">
        <v>20.6</v>
      </c>
      <c r="J370" s="64"/>
    </row>
    <row r="371" spans="1:10" ht="10.5">
      <c r="A371" s="65">
        <v>256077</v>
      </c>
      <c r="B371" s="57">
        <v>38744</v>
      </c>
      <c r="C371" s="60">
        <v>606700</v>
      </c>
      <c r="D371" s="58">
        <f>VLOOKUP(C371,Comptes!$A$2:$B$60,2,FALSE)</f>
        <v>0</v>
      </c>
      <c r="E371" s="59">
        <v>512000</v>
      </c>
      <c r="F371" s="58">
        <f>VLOOKUP(E371,Comptes!$A$2:$B$60,2,FALSE)</f>
        <v>0</v>
      </c>
      <c r="G371" s="59" t="s">
        <v>457</v>
      </c>
      <c r="H371" s="59" t="s">
        <v>444</v>
      </c>
      <c r="I371" s="61">
        <v>97</v>
      </c>
      <c r="J371" s="64"/>
    </row>
    <row r="372" spans="1:10" ht="10.5">
      <c r="A372" s="65">
        <v>256077</v>
      </c>
      <c r="B372" s="57">
        <v>38744</v>
      </c>
      <c r="C372" s="60">
        <v>606700</v>
      </c>
      <c r="D372" s="58">
        <f>VLOOKUP(C372,Comptes!$A$2:$B$60,2,FALSE)</f>
        <v>0</v>
      </c>
      <c r="E372" s="59">
        <v>512000</v>
      </c>
      <c r="F372" s="58">
        <f>VLOOKUP(E372,Comptes!$A$2:$B$60,2,FALSE)</f>
        <v>0</v>
      </c>
      <c r="G372" s="59" t="s">
        <v>457</v>
      </c>
      <c r="H372" s="59" t="s">
        <v>444</v>
      </c>
      <c r="I372" s="61">
        <f>203.22-91</f>
        <v>112.22</v>
      </c>
      <c r="J372" s="64"/>
    </row>
    <row r="373" spans="1:10" ht="10.5">
      <c r="A373" s="65">
        <v>256077</v>
      </c>
      <c r="B373" s="57">
        <v>38744</v>
      </c>
      <c r="C373" s="60">
        <v>606700</v>
      </c>
      <c r="D373" s="58">
        <f>VLOOKUP(C373,Comptes!$A$2:$B$60,2,FALSE)</f>
        <v>0</v>
      </c>
      <c r="E373" s="59">
        <v>512000</v>
      </c>
      <c r="F373" s="58">
        <f>VLOOKUP(E373,Comptes!$A$2:$B$60,2,FALSE)</f>
        <v>0</v>
      </c>
      <c r="G373" s="59" t="s">
        <v>458</v>
      </c>
      <c r="H373" s="59" t="s">
        <v>459</v>
      </c>
      <c r="I373" s="61">
        <v>163.6</v>
      </c>
      <c r="J373" s="35"/>
    </row>
    <row r="374" spans="1:10" ht="10.5">
      <c r="A374" s="65">
        <v>256078</v>
      </c>
      <c r="B374" s="57">
        <v>38744</v>
      </c>
      <c r="C374" s="60">
        <v>645000</v>
      </c>
      <c r="D374" s="58">
        <f>VLOOKUP(C374,Comptes!$A$2:$B$60,2,FALSE)</f>
        <v>0</v>
      </c>
      <c r="E374" s="62">
        <v>512000</v>
      </c>
      <c r="F374" s="58">
        <f>VLOOKUP(E374,Comptes!$A$2:$B$60,2,FALSE)</f>
        <v>0</v>
      </c>
      <c r="G374" s="59" t="s">
        <v>460</v>
      </c>
      <c r="H374" s="59" t="s">
        <v>448</v>
      </c>
      <c r="I374" s="61">
        <v>25</v>
      </c>
      <c r="J374" s="35"/>
    </row>
    <row r="375" spans="1:10" ht="10.5">
      <c r="A375" s="65">
        <v>256079</v>
      </c>
      <c r="B375" s="57">
        <v>38745</v>
      </c>
      <c r="C375" s="60">
        <v>641000</v>
      </c>
      <c r="D375" s="58">
        <f>VLOOKUP(C375,Comptes!$A$2:$B$60,2,FALSE)</f>
        <v>0</v>
      </c>
      <c r="E375" s="62">
        <v>512000</v>
      </c>
      <c r="F375" s="58">
        <f>VLOOKUP(E375,Comptes!$A$2:$B$60,2,FALSE)</f>
        <v>0</v>
      </c>
      <c r="G375" s="59" t="s">
        <v>461</v>
      </c>
      <c r="H375" s="59" t="s">
        <v>448</v>
      </c>
      <c r="I375" s="61">
        <v>1334.49</v>
      </c>
      <c r="J375" s="66"/>
    </row>
    <row r="376" spans="1:10" ht="10.5">
      <c r="A376" s="65">
        <v>256079</v>
      </c>
      <c r="B376" s="57">
        <v>38745</v>
      </c>
      <c r="C376" s="60">
        <v>613100</v>
      </c>
      <c r="D376" s="58">
        <f>VLOOKUP(C376,Comptes!$A$2:$B$60,2,FALSE)</f>
        <v>0</v>
      </c>
      <c r="E376" s="62">
        <v>512000</v>
      </c>
      <c r="F376" s="58">
        <f>VLOOKUP(E376,Comptes!$A$2:$B$60,2,FALSE)</f>
        <v>0</v>
      </c>
      <c r="G376" s="59" t="s">
        <v>462</v>
      </c>
      <c r="H376" s="59" t="s">
        <v>444</v>
      </c>
      <c r="I376" s="61">
        <v>610</v>
      </c>
      <c r="J376" s="66"/>
    </row>
    <row r="377" spans="1:10" ht="10.5">
      <c r="A377" s="65">
        <v>256079</v>
      </c>
      <c r="B377" s="57">
        <v>38745</v>
      </c>
      <c r="C377" s="60">
        <v>625000</v>
      </c>
      <c r="D377" s="58">
        <f>VLOOKUP(C377,Comptes!$A$2:$B$60,2,FALSE)</f>
        <v>0</v>
      </c>
      <c r="E377" s="62">
        <v>512000</v>
      </c>
      <c r="F377" s="58">
        <f>VLOOKUP(E377,Comptes!$A$2:$B$60,2,FALSE)</f>
        <v>0</v>
      </c>
      <c r="G377" s="59" t="s">
        <v>462</v>
      </c>
      <c r="H377" s="59" t="s">
        <v>444</v>
      </c>
      <c r="I377" s="61">
        <v>80</v>
      </c>
      <c r="J377" s="66"/>
    </row>
    <row r="378" spans="1:10" ht="10.5">
      <c r="A378" s="65">
        <v>256080</v>
      </c>
      <c r="B378" s="57">
        <v>38746</v>
      </c>
      <c r="C378" s="60">
        <v>625000</v>
      </c>
      <c r="D378" s="58">
        <f>VLOOKUP(C378,Comptes!$A$2:$B$60,2,FALSE)</f>
        <v>0</v>
      </c>
      <c r="E378" s="59">
        <v>530000</v>
      </c>
      <c r="F378" s="58">
        <f>VLOOKUP(E378,Comptes!$A$2:$B$60,2,FALSE)</f>
        <v>0</v>
      </c>
      <c r="G378" s="59"/>
      <c r="H378" s="59"/>
      <c r="I378" s="61">
        <v>490.56</v>
      </c>
      <c r="J378" s="35"/>
    </row>
    <row r="379" spans="1:10" ht="10.5">
      <c r="A379" s="65">
        <v>256080</v>
      </c>
      <c r="B379" s="57">
        <v>38746</v>
      </c>
      <c r="C379" s="60">
        <v>622600</v>
      </c>
      <c r="D379" s="58">
        <f>VLOOKUP(C379,Comptes!$A$2:$B$60,2,FALSE)</f>
        <v>0</v>
      </c>
      <c r="E379" s="59">
        <v>512000</v>
      </c>
      <c r="F379" s="58">
        <f>VLOOKUP(E379,Comptes!$A$2:$B$60,2,FALSE)</f>
        <v>0</v>
      </c>
      <c r="G379" s="59" t="s">
        <v>463</v>
      </c>
      <c r="H379" s="59" t="s">
        <v>448</v>
      </c>
      <c r="I379" s="61">
        <v>380</v>
      </c>
      <c r="J379" s="35"/>
    </row>
    <row r="380" spans="1:10" ht="10.5">
      <c r="A380" s="65">
        <v>256081</v>
      </c>
      <c r="B380" s="57">
        <v>38743</v>
      </c>
      <c r="C380" s="60">
        <v>512000</v>
      </c>
      <c r="D380" s="58">
        <f>VLOOKUP(C380,Comptes!$A$2:$B$60,2,FALSE)</f>
        <v>0</v>
      </c>
      <c r="E380" s="59">
        <v>706100</v>
      </c>
      <c r="F380" s="58">
        <f>VLOOKUP(E380,Comptes!$A$2:$B$60,2,FALSE)</f>
        <v>0</v>
      </c>
      <c r="G380" s="59" t="s">
        <v>170</v>
      </c>
      <c r="H380" s="59" t="s">
        <v>444</v>
      </c>
      <c r="I380" s="61">
        <v>10</v>
      </c>
      <c r="J380" s="35"/>
    </row>
    <row r="381" spans="1:10" ht="10.5">
      <c r="A381" s="65">
        <v>256081</v>
      </c>
      <c r="B381" s="57">
        <v>38743</v>
      </c>
      <c r="C381" s="60">
        <v>512000</v>
      </c>
      <c r="D381" s="58">
        <f>VLOOKUP(C381,Comptes!$A$2:$B$60,2,FALSE)</f>
        <v>0</v>
      </c>
      <c r="E381" s="59">
        <v>706420</v>
      </c>
      <c r="F381" s="58">
        <f>VLOOKUP(E381,Comptes!$A$2:$B$60,2,FALSE)</f>
        <v>0</v>
      </c>
      <c r="G381" s="59" t="s">
        <v>170</v>
      </c>
      <c r="H381" s="59" t="s">
        <v>444</v>
      </c>
      <c r="I381" s="61">
        <v>270</v>
      </c>
      <c r="J381" s="35"/>
    </row>
    <row r="382" spans="1:10" ht="10.5">
      <c r="A382" s="65">
        <v>256081</v>
      </c>
      <c r="B382" s="57">
        <v>38743</v>
      </c>
      <c r="C382" s="60">
        <v>512000</v>
      </c>
      <c r="D382" s="58">
        <f>VLOOKUP(C382,Comptes!$A$2:$B$60,2,FALSE)</f>
        <v>0</v>
      </c>
      <c r="E382" s="59">
        <v>706100</v>
      </c>
      <c r="F382" s="58">
        <f>VLOOKUP(E382,Comptes!$A$2:$B$60,2,FALSE)</f>
        <v>0</v>
      </c>
      <c r="G382" s="59" t="s">
        <v>164</v>
      </c>
      <c r="H382" s="59" t="s">
        <v>444</v>
      </c>
      <c r="I382" s="61">
        <v>235</v>
      </c>
      <c r="J382" s="35"/>
    </row>
    <row r="383" spans="1:10" ht="10.5">
      <c r="A383" s="65">
        <v>256081</v>
      </c>
      <c r="B383" s="57">
        <v>38743</v>
      </c>
      <c r="C383" s="60">
        <v>512000</v>
      </c>
      <c r="D383" s="58">
        <f>VLOOKUP(C383,Comptes!$A$2:$B$60,2,FALSE)</f>
        <v>0</v>
      </c>
      <c r="E383" s="59">
        <v>706420</v>
      </c>
      <c r="F383" s="58">
        <f>VLOOKUP(E383,Comptes!$A$2:$B$60,2,FALSE)</f>
        <v>0</v>
      </c>
      <c r="G383" s="59" t="s">
        <v>164</v>
      </c>
      <c r="H383" s="59" t="s">
        <v>444</v>
      </c>
      <c r="I383" s="61">
        <v>115</v>
      </c>
      <c r="J383" s="35"/>
    </row>
    <row r="384" spans="1:10" ht="10.5">
      <c r="A384" s="65">
        <v>256082</v>
      </c>
      <c r="B384" s="57">
        <v>38751</v>
      </c>
      <c r="C384" s="60">
        <v>606700</v>
      </c>
      <c r="D384" s="58">
        <f>VLOOKUP(C384,Comptes!$A$2:$B$60,2,FALSE)</f>
        <v>0</v>
      </c>
      <c r="E384" s="59">
        <v>512000</v>
      </c>
      <c r="F384" s="58">
        <f>VLOOKUP(E384,Comptes!$A$2:$B$60,2,FALSE)</f>
        <v>0</v>
      </c>
      <c r="G384" s="59" t="s">
        <v>464</v>
      </c>
      <c r="H384" s="59" t="s">
        <v>448</v>
      </c>
      <c r="I384" s="61">
        <v>52.25</v>
      </c>
      <c r="J384" s="35"/>
    </row>
    <row r="385" spans="1:10" ht="10.5">
      <c r="A385" s="65">
        <v>256082</v>
      </c>
      <c r="B385" s="57">
        <v>38751</v>
      </c>
      <c r="C385" s="60">
        <v>606700</v>
      </c>
      <c r="D385" s="58">
        <f>VLOOKUP(C385,Comptes!$A$2:$B$60,2,FALSE)</f>
        <v>0</v>
      </c>
      <c r="E385" s="59">
        <v>512000</v>
      </c>
      <c r="F385" s="58">
        <f>VLOOKUP(E385,Comptes!$A$2:$B$60,2,FALSE)</f>
        <v>0</v>
      </c>
      <c r="G385" s="59" t="s">
        <v>464</v>
      </c>
      <c r="H385" s="59" t="s">
        <v>448</v>
      </c>
      <c r="I385" s="61">
        <v>23.05</v>
      </c>
      <c r="J385" s="35"/>
    </row>
    <row r="386" spans="1:10" ht="10.5">
      <c r="A386" s="65">
        <v>256082</v>
      </c>
      <c r="B386" s="57">
        <v>38751</v>
      </c>
      <c r="C386" s="60">
        <v>606700</v>
      </c>
      <c r="D386" s="58">
        <f>VLOOKUP(C386,Comptes!$A$2:$B$60,2,FALSE)</f>
        <v>0</v>
      </c>
      <c r="E386" s="59">
        <v>530000</v>
      </c>
      <c r="F386" s="58">
        <f>VLOOKUP(E386,Comptes!$A$2:$B$60,2,FALSE)</f>
        <v>0</v>
      </c>
      <c r="G386" s="59"/>
      <c r="H386" s="63"/>
      <c r="I386" s="61">
        <v>21.3</v>
      </c>
      <c r="J386" s="35"/>
    </row>
    <row r="387" spans="1:10" ht="10.5">
      <c r="A387" s="65">
        <v>256082</v>
      </c>
      <c r="B387" s="57">
        <v>38751</v>
      </c>
      <c r="C387" s="60">
        <v>606700</v>
      </c>
      <c r="D387" s="58">
        <f>VLOOKUP(C387,Comptes!$A$2:$B$60,2,FALSE)</f>
        <v>0</v>
      </c>
      <c r="E387" s="59">
        <v>512000</v>
      </c>
      <c r="F387" s="58">
        <f>VLOOKUP(E387,Comptes!$A$2:$B$60,2,FALSE)</f>
        <v>0</v>
      </c>
      <c r="G387" s="59" t="s">
        <v>465</v>
      </c>
      <c r="H387" s="59" t="s">
        <v>448</v>
      </c>
      <c r="I387" s="61">
        <v>158.89</v>
      </c>
      <c r="J387" s="35"/>
    </row>
    <row r="388" spans="1:10" ht="10.5">
      <c r="A388" s="65">
        <v>256083</v>
      </c>
      <c r="B388" s="57">
        <v>38751</v>
      </c>
      <c r="C388" s="60">
        <v>606150</v>
      </c>
      <c r="D388" s="58">
        <f>VLOOKUP(C388,Comptes!$A$2:$B$60,2,FALSE)</f>
        <v>0</v>
      </c>
      <c r="E388" s="59">
        <v>512000</v>
      </c>
      <c r="F388" s="58">
        <f>VLOOKUP(E388,Comptes!$A$2:$B$60,2,FALSE)</f>
        <v>0</v>
      </c>
      <c r="G388" s="59" t="s">
        <v>466</v>
      </c>
      <c r="H388" s="59" t="s">
        <v>448</v>
      </c>
      <c r="I388" s="61">
        <v>1231.27</v>
      </c>
      <c r="J388" s="35"/>
    </row>
    <row r="389" spans="1:10" ht="10.5">
      <c r="A389" s="65">
        <v>256084</v>
      </c>
      <c r="B389" s="57">
        <v>38751</v>
      </c>
      <c r="C389" s="60">
        <v>512000</v>
      </c>
      <c r="D389" s="58">
        <f>VLOOKUP(C389,Comptes!$A$2:$B$60,2,FALSE)</f>
        <v>0</v>
      </c>
      <c r="E389" s="59">
        <v>706210</v>
      </c>
      <c r="F389" s="58">
        <f>VLOOKUP(E389,Comptes!$A$2:$B$60,2,FALSE)</f>
        <v>0</v>
      </c>
      <c r="G389" s="59" t="s">
        <v>170</v>
      </c>
      <c r="H389" s="59" t="s">
        <v>448</v>
      </c>
      <c r="I389" s="61">
        <v>228</v>
      </c>
      <c r="J389" s="176"/>
    </row>
    <row r="390" spans="1:10" ht="10.5">
      <c r="A390" s="65">
        <v>256084</v>
      </c>
      <c r="B390" s="57">
        <v>38751</v>
      </c>
      <c r="C390" s="60">
        <v>512000</v>
      </c>
      <c r="D390" s="58">
        <f>VLOOKUP(C390,Comptes!$A$2:$B$60,2,FALSE)</f>
        <v>0</v>
      </c>
      <c r="E390" s="59">
        <v>706220</v>
      </c>
      <c r="F390" s="58">
        <f>VLOOKUP(E390,Comptes!$A$2:$B$60,2,FALSE)</f>
        <v>0</v>
      </c>
      <c r="G390" s="59" t="s">
        <v>170</v>
      </c>
      <c r="H390" s="59" t="s">
        <v>448</v>
      </c>
      <c r="I390" s="61">
        <v>168</v>
      </c>
      <c r="J390" s="35"/>
    </row>
    <row r="391" spans="1:10" ht="10.5">
      <c r="A391" s="65">
        <v>256084</v>
      </c>
      <c r="B391" s="57">
        <v>38751</v>
      </c>
      <c r="C391" s="60">
        <v>512000</v>
      </c>
      <c r="D391" s="58">
        <f>VLOOKUP(C391,Comptes!$A$2:$B$60,2,FALSE)</f>
        <v>0</v>
      </c>
      <c r="E391" s="59">
        <v>706230</v>
      </c>
      <c r="F391" s="58">
        <f>VLOOKUP(E391,Comptes!$A$2:$B$60,2,FALSE)</f>
        <v>0</v>
      </c>
      <c r="G391" s="59" t="s">
        <v>170</v>
      </c>
      <c r="H391" s="59" t="s">
        <v>448</v>
      </c>
      <c r="I391" s="61">
        <v>592</v>
      </c>
      <c r="J391" s="176"/>
    </row>
    <row r="392" spans="1:10" ht="10.5">
      <c r="A392" s="65">
        <v>256084</v>
      </c>
      <c r="B392" s="57">
        <v>38751</v>
      </c>
      <c r="C392" s="60">
        <v>512000</v>
      </c>
      <c r="D392" s="58">
        <f>VLOOKUP(C392,Comptes!$A$2:$B$60,2,FALSE)</f>
        <v>0</v>
      </c>
      <c r="E392" s="59">
        <v>756000</v>
      </c>
      <c r="F392" s="58">
        <f>VLOOKUP(E392,Comptes!$A$2:$B$60,2,FALSE)</f>
        <v>0</v>
      </c>
      <c r="G392" s="59" t="s">
        <v>170</v>
      </c>
      <c r="H392" s="59" t="s">
        <v>448</v>
      </c>
      <c r="I392" s="61">
        <v>9</v>
      </c>
      <c r="J392" s="35"/>
    </row>
    <row r="393" spans="1:10" ht="10.5">
      <c r="A393" s="47">
        <v>256084</v>
      </c>
      <c r="B393" s="48">
        <v>38751</v>
      </c>
      <c r="C393" s="51">
        <v>511200</v>
      </c>
      <c r="D393" s="58">
        <f>VLOOKUP(C393,Comptes!$A$2:$B$60,2,FALSE)</f>
        <v>0</v>
      </c>
      <c r="E393" s="49">
        <v>512000</v>
      </c>
      <c r="F393" s="58">
        <f>VLOOKUP(E393,Comptes!$A$2:$B$60,2,FALSE)</f>
        <v>0</v>
      </c>
      <c r="G393" s="49" t="s">
        <v>170</v>
      </c>
      <c r="H393" s="59" t="s">
        <v>448</v>
      </c>
      <c r="I393" s="61">
        <v>57</v>
      </c>
      <c r="J393" s="35"/>
    </row>
    <row r="394" spans="1:10" ht="10.5">
      <c r="A394" s="65">
        <v>256084</v>
      </c>
      <c r="B394" s="57">
        <v>38751</v>
      </c>
      <c r="C394" s="60">
        <v>530000</v>
      </c>
      <c r="D394" s="58">
        <f>VLOOKUP(C394,Comptes!$A$2:$B$60,2,FALSE)</f>
        <v>0</v>
      </c>
      <c r="E394" s="59">
        <v>706210</v>
      </c>
      <c r="F394" s="58">
        <f>VLOOKUP(E394,Comptes!$A$2:$B$60,2,FALSE)</f>
        <v>0</v>
      </c>
      <c r="G394" s="59"/>
      <c r="H394" s="63"/>
      <c r="I394" s="61">
        <v>90</v>
      </c>
      <c r="J394" s="35"/>
    </row>
    <row r="395" spans="1:10" ht="10.5">
      <c r="A395" s="65">
        <v>256084</v>
      </c>
      <c r="B395" s="57">
        <v>38751</v>
      </c>
      <c r="C395" s="60">
        <v>530000</v>
      </c>
      <c r="D395" s="58">
        <f>VLOOKUP(C395,Comptes!$A$2:$B$60,2,FALSE)</f>
        <v>0</v>
      </c>
      <c r="E395" s="59">
        <v>706220</v>
      </c>
      <c r="F395" s="58">
        <f>VLOOKUP(E395,Comptes!$A$2:$B$60,2,FALSE)</f>
        <v>0</v>
      </c>
      <c r="G395" s="59"/>
      <c r="H395" s="63"/>
      <c r="I395" s="61">
        <v>72</v>
      </c>
      <c r="J395" s="35"/>
    </row>
    <row r="396" spans="1:10" ht="10.5">
      <c r="A396" s="65">
        <v>256084</v>
      </c>
      <c r="B396" s="57">
        <v>38751</v>
      </c>
      <c r="C396" s="60">
        <v>530000</v>
      </c>
      <c r="D396" s="58">
        <f>VLOOKUP(C396,Comptes!$A$2:$B$60,2,FALSE)</f>
        <v>0</v>
      </c>
      <c r="E396" s="59">
        <v>706230</v>
      </c>
      <c r="F396" s="58">
        <f>VLOOKUP(E396,Comptes!$A$2:$B$60,2,FALSE)</f>
        <v>0</v>
      </c>
      <c r="G396" s="59"/>
      <c r="H396" s="63"/>
      <c r="I396" s="61">
        <v>240</v>
      </c>
      <c r="J396" s="35"/>
    </row>
    <row r="397" spans="1:10" ht="10.5">
      <c r="A397" s="65">
        <v>256084</v>
      </c>
      <c r="B397" s="57">
        <v>38751</v>
      </c>
      <c r="C397" s="60">
        <v>512000</v>
      </c>
      <c r="D397" s="58">
        <f>VLOOKUP(C397,Comptes!$A$2:$B$60,2,FALSE)</f>
        <v>0</v>
      </c>
      <c r="E397" s="59">
        <v>706210</v>
      </c>
      <c r="F397" s="58">
        <f>VLOOKUP(E397,Comptes!$A$2:$B$60,2,FALSE)</f>
        <v>0</v>
      </c>
      <c r="G397" s="59" t="s">
        <v>170</v>
      </c>
      <c r="H397" s="59" t="s">
        <v>448</v>
      </c>
      <c r="I397" s="61">
        <v>315</v>
      </c>
      <c r="J397" s="35"/>
    </row>
    <row r="398" spans="1:10" ht="10.5">
      <c r="A398" s="65">
        <v>256084</v>
      </c>
      <c r="B398" s="57">
        <v>38751</v>
      </c>
      <c r="C398" s="60">
        <v>512000</v>
      </c>
      <c r="D398" s="58">
        <f>VLOOKUP(C398,Comptes!$A$2:$B$60,2,FALSE)</f>
        <v>0</v>
      </c>
      <c r="E398" s="59">
        <v>706220</v>
      </c>
      <c r="F398" s="58">
        <f>VLOOKUP(E398,Comptes!$A$2:$B$60,2,FALSE)</f>
        <v>0</v>
      </c>
      <c r="G398" s="59" t="s">
        <v>170</v>
      </c>
      <c r="H398" s="59" t="s">
        <v>448</v>
      </c>
      <c r="I398" s="61">
        <v>22</v>
      </c>
      <c r="J398" s="35"/>
    </row>
    <row r="399" spans="1:10" ht="10.5">
      <c r="A399" s="65">
        <v>256084</v>
      </c>
      <c r="B399" s="57">
        <v>38751</v>
      </c>
      <c r="C399" s="60">
        <v>512000</v>
      </c>
      <c r="D399" s="58">
        <f>VLOOKUP(C399,Comptes!$A$2:$B$60,2,FALSE)</f>
        <v>0</v>
      </c>
      <c r="E399" s="59">
        <v>706230</v>
      </c>
      <c r="F399" s="58">
        <f>VLOOKUP(E399,Comptes!$A$2:$B$60,2,FALSE)</f>
        <v>0</v>
      </c>
      <c r="G399" s="59" t="s">
        <v>170</v>
      </c>
      <c r="H399" s="59" t="s">
        <v>448</v>
      </c>
      <c r="I399" s="61">
        <v>15</v>
      </c>
      <c r="J399" s="35"/>
    </row>
    <row r="400" spans="1:10" ht="10.5">
      <c r="A400" s="65">
        <v>256084</v>
      </c>
      <c r="B400" s="57">
        <v>38751</v>
      </c>
      <c r="C400" s="60">
        <v>512000</v>
      </c>
      <c r="D400" s="58">
        <f>VLOOKUP(C400,Comptes!$A$2:$B$60,2,FALSE)</f>
        <v>0</v>
      </c>
      <c r="E400" s="59">
        <v>706100</v>
      </c>
      <c r="F400" s="58">
        <f>VLOOKUP(E400,Comptes!$A$2:$B$60,2,FALSE)</f>
        <v>0</v>
      </c>
      <c r="G400" s="59" t="s">
        <v>170</v>
      </c>
      <c r="H400" s="59" t="s">
        <v>448</v>
      </c>
      <c r="I400" s="61">
        <v>420</v>
      </c>
      <c r="J400" s="35"/>
    </row>
    <row r="401" spans="1:10" ht="10.5">
      <c r="A401" s="65">
        <v>256084</v>
      </c>
      <c r="B401" s="57">
        <v>38751</v>
      </c>
      <c r="C401" s="60">
        <v>512000</v>
      </c>
      <c r="D401" s="58">
        <f>VLOOKUP(C401,Comptes!$A$2:$B$60,2,FALSE)</f>
        <v>0</v>
      </c>
      <c r="E401" s="59">
        <v>756000</v>
      </c>
      <c r="F401" s="58">
        <f>VLOOKUP(E401,Comptes!$A$2:$B$60,2,FALSE)</f>
        <v>0</v>
      </c>
      <c r="G401" s="59" t="s">
        <v>170</v>
      </c>
      <c r="H401" s="59" t="s">
        <v>448</v>
      </c>
      <c r="I401" s="61">
        <v>138</v>
      </c>
      <c r="J401" s="35"/>
    </row>
    <row r="402" spans="1:10" ht="10.5">
      <c r="A402" s="65">
        <v>256084</v>
      </c>
      <c r="B402" s="57">
        <v>38751</v>
      </c>
      <c r="C402" s="60">
        <v>512000</v>
      </c>
      <c r="D402" s="58">
        <f>VLOOKUP(C402,Comptes!$A$2:$B$60,2,FALSE)</f>
        <v>0</v>
      </c>
      <c r="E402" s="59">
        <v>708000</v>
      </c>
      <c r="F402" s="58">
        <f>VLOOKUP(E402,Comptes!$A$2:$B$60,2,FALSE)</f>
        <v>0</v>
      </c>
      <c r="G402" s="59" t="s">
        <v>170</v>
      </c>
      <c r="H402" s="59" t="s">
        <v>448</v>
      </c>
      <c r="I402" s="61">
        <v>16</v>
      </c>
      <c r="J402" s="35"/>
    </row>
    <row r="403" spans="1:10" ht="10.5">
      <c r="A403" s="65">
        <v>256084</v>
      </c>
      <c r="B403" s="57">
        <v>38751</v>
      </c>
      <c r="C403" s="60">
        <v>530000</v>
      </c>
      <c r="D403" s="58">
        <f>VLOOKUP(C403,Comptes!$A$2:$B$60,2,FALSE)</f>
        <v>0</v>
      </c>
      <c r="E403" s="59">
        <v>706100</v>
      </c>
      <c r="F403" s="58">
        <f>VLOOKUP(E403,Comptes!$A$2:$B$60,2,FALSE)</f>
        <v>0</v>
      </c>
      <c r="G403" s="59"/>
      <c r="H403" s="63"/>
      <c r="I403" s="61">
        <v>35</v>
      </c>
      <c r="J403" s="35"/>
    </row>
    <row r="404" spans="1:10" ht="10.5">
      <c r="A404" s="65">
        <v>256084</v>
      </c>
      <c r="B404" s="57">
        <v>38751</v>
      </c>
      <c r="C404" s="60">
        <v>512000</v>
      </c>
      <c r="D404" s="58">
        <f>VLOOKUP(C404,Comptes!$A$2:$B$60,2,FALSE)</f>
        <v>0</v>
      </c>
      <c r="E404" s="59">
        <v>706320</v>
      </c>
      <c r="F404" s="58">
        <f>VLOOKUP(E404,Comptes!$A$2:$B$60,2,FALSE)</f>
        <v>0</v>
      </c>
      <c r="G404" s="59" t="s">
        <v>170</v>
      </c>
      <c r="H404" s="59" t="s">
        <v>448</v>
      </c>
      <c r="I404" s="61">
        <v>750.48</v>
      </c>
      <c r="J404" s="35"/>
    </row>
    <row r="405" spans="1:10" ht="10.5">
      <c r="A405" s="65">
        <v>256084</v>
      </c>
      <c r="B405" s="57">
        <v>38751</v>
      </c>
      <c r="C405" s="59">
        <v>512000</v>
      </c>
      <c r="D405" s="58">
        <f>VLOOKUP(C405,Comptes!$A$2:$B$60,2,FALSE)</f>
        <v>0</v>
      </c>
      <c r="E405" s="59">
        <v>706210</v>
      </c>
      <c r="F405" s="58">
        <f>VLOOKUP(E405,Comptes!$A$2:$B$60,2,FALSE)</f>
        <v>0</v>
      </c>
      <c r="G405" s="59" t="s">
        <v>170</v>
      </c>
      <c r="H405" s="59" t="s">
        <v>448</v>
      </c>
      <c r="I405" s="68">
        <v>13</v>
      </c>
      <c r="J405" s="177"/>
    </row>
    <row r="406" spans="1:10" ht="10.5">
      <c r="A406" s="65">
        <v>256085</v>
      </c>
      <c r="B406" s="57">
        <v>38751</v>
      </c>
      <c r="C406" s="59">
        <v>512000</v>
      </c>
      <c r="D406" s="58">
        <f>VLOOKUP(C406,Comptes!$A$2:$B$60,2,FALSE)</f>
        <v>0</v>
      </c>
      <c r="E406" s="59">
        <v>706210</v>
      </c>
      <c r="F406" s="58">
        <f>VLOOKUP(E406,Comptes!$A$2:$B$60,2,FALSE)</f>
        <v>0</v>
      </c>
      <c r="G406" s="59" t="s">
        <v>170</v>
      </c>
      <c r="H406" s="59" t="s">
        <v>448</v>
      </c>
      <c r="I406" s="61">
        <v>178</v>
      </c>
      <c r="J406" s="64"/>
    </row>
    <row r="407" spans="1:10" ht="10.5">
      <c r="A407" s="65">
        <v>256085</v>
      </c>
      <c r="B407" s="57">
        <v>38751</v>
      </c>
      <c r="C407" s="59">
        <v>512000</v>
      </c>
      <c r="D407" s="58">
        <f>VLOOKUP(C407,Comptes!$A$2:$B$60,2,FALSE)</f>
        <v>0</v>
      </c>
      <c r="E407" s="59">
        <v>706220</v>
      </c>
      <c r="F407" s="58">
        <f>VLOOKUP(E407,Comptes!$A$2:$B$60,2,FALSE)</f>
        <v>0</v>
      </c>
      <c r="G407" s="59" t="s">
        <v>170</v>
      </c>
      <c r="H407" s="59" t="s">
        <v>448</v>
      </c>
      <c r="I407" s="61">
        <v>120</v>
      </c>
      <c r="J407" s="64"/>
    </row>
    <row r="408" spans="1:10" ht="10.5">
      <c r="A408" s="65">
        <v>256085</v>
      </c>
      <c r="B408" s="57">
        <v>38751</v>
      </c>
      <c r="C408" s="59">
        <v>512000</v>
      </c>
      <c r="D408" s="58">
        <f>VLOOKUP(C408,Comptes!$A$2:$B$60,2,FALSE)</f>
        <v>0</v>
      </c>
      <c r="E408" s="59">
        <v>706230</v>
      </c>
      <c r="F408" s="58">
        <f>VLOOKUP(E408,Comptes!$A$2:$B$60,2,FALSE)</f>
        <v>0</v>
      </c>
      <c r="G408" s="59" t="s">
        <v>170</v>
      </c>
      <c r="H408" s="59" t="s">
        <v>448</v>
      </c>
      <c r="I408" s="61">
        <v>490</v>
      </c>
      <c r="J408" s="64"/>
    </row>
    <row r="409" spans="1:10" ht="10.5">
      <c r="A409" s="47">
        <v>256085</v>
      </c>
      <c r="B409" s="48">
        <v>38751</v>
      </c>
      <c r="C409" s="49">
        <v>511200</v>
      </c>
      <c r="D409" s="58">
        <f>VLOOKUP(C409,Comptes!$A$2:$B$60,2,FALSE)</f>
        <v>0</v>
      </c>
      <c r="E409" s="49">
        <v>512000</v>
      </c>
      <c r="F409" s="58">
        <f>VLOOKUP(E409,Comptes!$A$2:$B$60,2,FALSE)</f>
        <v>0</v>
      </c>
      <c r="G409" s="49" t="s">
        <v>170</v>
      </c>
      <c r="H409" s="59" t="s">
        <v>448</v>
      </c>
      <c r="I409" s="61">
        <v>82</v>
      </c>
      <c r="J409" s="35"/>
    </row>
    <row r="410" spans="1:10" ht="10.5">
      <c r="A410" s="76">
        <v>256085</v>
      </c>
      <c r="B410" s="70">
        <v>38751</v>
      </c>
      <c r="C410" s="63">
        <v>511200</v>
      </c>
      <c r="D410" s="58">
        <f>VLOOKUP(C410,Comptes!$A$2:$B$60,2,FALSE)</f>
        <v>0</v>
      </c>
      <c r="E410" s="63">
        <v>512000</v>
      </c>
      <c r="F410" s="58">
        <f>VLOOKUP(E410,Comptes!$A$2:$B$60,2,FALSE)</f>
        <v>0</v>
      </c>
      <c r="G410" s="63" t="s">
        <v>170</v>
      </c>
      <c r="H410" s="63" t="s">
        <v>448</v>
      </c>
      <c r="I410" s="178">
        <v>50</v>
      </c>
      <c r="J410" s="55"/>
    </row>
    <row r="411" spans="1:10" ht="10.5">
      <c r="A411" s="65">
        <v>256085</v>
      </c>
      <c r="B411" s="57">
        <v>38751</v>
      </c>
      <c r="C411" s="59">
        <v>530000</v>
      </c>
      <c r="D411" s="58">
        <f>VLOOKUP(C411,Comptes!$A$2:$B$60,2,FALSE)</f>
        <v>0</v>
      </c>
      <c r="E411" s="59">
        <v>706210</v>
      </c>
      <c r="F411" s="58">
        <f>VLOOKUP(E411,Comptes!$A$2:$B$60,2,FALSE)</f>
        <v>0</v>
      </c>
      <c r="G411" s="59"/>
      <c r="H411" s="63"/>
      <c r="I411" s="61">
        <v>11</v>
      </c>
      <c r="J411" s="64"/>
    </row>
    <row r="412" spans="1:10" ht="10.5">
      <c r="A412" s="65">
        <v>256085</v>
      </c>
      <c r="B412" s="57">
        <v>38751</v>
      </c>
      <c r="C412" s="59">
        <v>530000</v>
      </c>
      <c r="D412" s="58">
        <f>VLOOKUP(C412,Comptes!$A$2:$B$60,2,FALSE)</f>
        <v>0</v>
      </c>
      <c r="E412" s="59">
        <v>706220</v>
      </c>
      <c r="F412" s="58">
        <f>VLOOKUP(E412,Comptes!$A$2:$B$60,2,FALSE)</f>
        <v>0</v>
      </c>
      <c r="G412" s="59"/>
      <c r="H412" s="63"/>
      <c r="I412" s="61">
        <v>18</v>
      </c>
      <c r="J412" s="64"/>
    </row>
    <row r="413" spans="1:10" ht="10.5">
      <c r="A413" s="65">
        <v>256085</v>
      </c>
      <c r="B413" s="57">
        <v>38751</v>
      </c>
      <c r="C413" s="59">
        <v>530000</v>
      </c>
      <c r="D413" s="58">
        <f>VLOOKUP(C413,Comptes!$A$2:$B$60,2,FALSE)</f>
        <v>0</v>
      </c>
      <c r="E413" s="59">
        <v>706230</v>
      </c>
      <c r="F413" s="58">
        <f>VLOOKUP(E413,Comptes!$A$2:$B$60,2,FALSE)</f>
        <v>0</v>
      </c>
      <c r="G413" s="59"/>
      <c r="H413" s="63"/>
      <c r="I413" s="61">
        <v>10</v>
      </c>
      <c r="J413" s="64"/>
    </row>
    <row r="414" spans="1:10" ht="10.5">
      <c r="A414" s="65">
        <v>256086</v>
      </c>
      <c r="B414" s="57">
        <v>38758</v>
      </c>
      <c r="C414" s="60">
        <v>613200</v>
      </c>
      <c r="D414" s="58">
        <f>VLOOKUP(C414,Comptes!$A$2:$B$60,2,FALSE)</f>
        <v>0</v>
      </c>
      <c r="E414" s="62">
        <v>512000</v>
      </c>
      <c r="F414" s="58">
        <f>VLOOKUP(E414,Comptes!$A$2:$B$60,2,FALSE)</f>
        <v>0</v>
      </c>
      <c r="G414" s="59" t="s">
        <v>178</v>
      </c>
      <c r="H414" s="59" t="s">
        <v>448</v>
      </c>
      <c r="I414" s="61">
        <v>963.5</v>
      </c>
      <c r="J414" s="64"/>
    </row>
    <row r="415" spans="1:10" ht="10.5">
      <c r="A415" s="65">
        <v>256087</v>
      </c>
      <c r="B415" s="57">
        <v>38761</v>
      </c>
      <c r="C415" s="60">
        <v>606110</v>
      </c>
      <c r="D415" s="58">
        <f>VLOOKUP(C415,Comptes!$A$2:$B$60,2,FALSE)</f>
        <v>0</v>
      </c>
      <c r="E415" s="59">
        <v>512000</v>
      </c>
      <c r="F415" s="58">
        <f>VLOOKUP(E415,Comptes!$A$2:$B$60,2,FALSE)</f>
        <v>0</v>
      </c>
      <c r="G415" s="36" t="s">
        <v>178</v>
      </c>
      <c r="H415" s="59" t="s">
        <v>448</v>
      </c>
      <c r="I415" s="61">
        <v>102.07</v>
      </c>
      <c r="J415" s="64"/>
    </row>
    <row r="416" spans="1:10" ht="10.5">
      <c r="A416" s="65">
        <v>256088</v>
      </c>
      <c r="B416" s="57">
        <v>38733</v>
      </c>
      <c r="C416" s="59">
        <v>512000</v>
      </c>
      <c r="D416" s="58">
        <f>VLOOKUP(C416,Comptes!$A$2:$B$60,2,FALSE)</f>
        <v>0</v>
      </c>
      <c r="E416" s="60">
        <v>754000</v>
      </c>
      <c r="F416" s="58">
        <f>VLOOKUP(E416,Comptes!$A$2:$B$60,2,FALSE)</f>
        <v>0</v>
      </c>
      <c r="G416" s="59" t="s">
        <v>171</v>
      </c>
      <c r="H416" s="59" t="s">
        <v>444</v>
      </c>
      <c r="I416" s="68">
        <v>12.5</v>
      </c>
      <c r="J416" s="64"/>
    </row>
    <row r="417" spans="1:10" ht="10.5">
      <c r="A417" s="65">
        <v>256088</v>
      </c>
      <c r="B417" s="57">
        <v>38733</v>
      </c>
      <c r="C417" s="59">
        <v>512000</v>
      </c>
      <c r="D417" s="58">
        <f>VLOOKUP(C417,Comptes!$A$2:$B$60,2,FALSE)</f>
        <v>0</v>
      </c>
      <c r="E417" s="60">
        <v>754000</v>
      </c>
      <c r="F417" s="58">
        <f>VLOOKUP(E417,Comptes!$A$2:$B$60,2,FALSE)</f>
        <v>0</v>
      </c>
      <c r="G417" s="59" t="s">
        <v>171</v>
      </c>
      <c r="H417" s="59" t="s">
        <v>444</v>
      </c>
      <c r="I417" s="68">
        <v>30</v>
      </c>
      <c r="J417" s="64"/>
    </row>
    <row r="418" spans="1:10" ht="10.5">
      <c r="A418" s="65">
        <v>256088</v>
      </c>
      <c r="B418" s="57">
        <v>38748</v>
      </c>
      <c r="C418" s="59">
        <v>512000</v>
      </c>
      <c r="D418" s="58">
        <f>VLOOKUP(C418,Comptes!$A$2:$B$60,2,FALSE)</f>
        <v>0</v>
      </c>
      <c r="E418" s="60">
        <v>754000</v>
      </c>
      <c r="F418" s="58">
        <f>VLOOKUP(E418,Comptes!$A$2:$B$60,2,FALSE)</f>
        <v>0</v>
      </c>
      <c r="G418" s="59" t="s">
        <v>171</v>
      </c>
      <c r="H418" s="59" t="s">
        <v>444</v>
      </c>
      <c r="I418" s="68">
        <v>38.11</v>
      </c>
      <c r="J418" s="35"/>
    </row>
    <row r="419" spans="1:10" ht="10.5">
      <c r="A419" s="65">
        <v>256089</v>
      </c>
      <c r="B419" s="57">
        <v>38756</v>
      </c>
      <c r="C419" s="59">
        <v>512000</v>
      </c>
      <c r="D419" s="58">
        <f>VLOOKUP(C419,Comptes!$A$2:$B$60,2,FALSE)</f>
        <v>0</v>
      </c>
      <c r="E419" s="60">
        <v>706210</v>
      </c>
      <c r="F419" s="58">
        <f>VLOOKUP(E419,Comptes!$A$2:$B$60,2,FALSE)</f>
        <v>0</v>
      </c>
      <c r="G419" s="36" t="s">
        <v>170</v>
      </c>
      <c r="H419" s="59" t="s">
        <v>448</v>
      </c>
      <c r="I419" s="68">
        <v>474</v>
      </c>
      <c r="J419" s="179"/>
    </row>
    <row r="420" spans="1:10" ht="10.5">
      <c r="A420" s="65">
        <v>256089</v>
      </c>
      <c r="B420" s="57">
        <v>38756</v>
      </c>
      <c r="C420" s="59">
        <v>512000</v>
      </c>
      <c r="D420" s="58">
        <f>VLOOKUP(C420,Comptes!$A$2:$B$60,2,FALSE)</f>
        <v>0</v>
      </c>
      <c r="E420" s="60">
        <v>706220</v>
      </c>
      <c r="F420" s="58">
        <f>VLOOKUP(E420,Comptes!$A$2:$B$60,2,FALSE)</f>
        <v>0</v>
      </c>
      <c r="G420" s="36" t="s">
        <v>170</v>
      </c>
      <c r="H420" s="59" t="s">
        <v>448</v>
      </c>
      <c r="I420" s="68">
        <v>338</v>
      </c>
      <c r="J420" s="35"/>
    </row>
    <row r="421" spans="1:10" ht="10.5">
      <c r="A421" s="65">
        <v>256089</v>
      </c>
      <c r="B421" s="57">
        <v>38756</v>
      </c>
      <c r="C421" s="59">
        <v>512000</v>
      </c>
      <c r="D421" s="58">
        <f>VLOOKUP(C421,Comptes!$A$2:$B$60,2,FALSE)</f>
        <v>0</v>
      </c>
      <c r="E421" s="60">
        <v>706230</v>
      </c>
      <c r="F421" s="58">
        <f>VLOOKUP(E421,Comptes!$A$2:$B$60,2,FALSE)</f>
        <v>0</v>
      </c>
      <c r="G421" s="36" t="s">
        <v>170</v>
      </c>
      <c r="H421" s="59" t="s">
        <v>448</v>
      </c>
      <c r="I421" s="68">
        <v>582</v>
      </c>
      <c r="J421" s="35"/>
    </row>
    <row r="422" spans="1:10" ht="10.5">
      <c r="A422" s="65">
        <v>256089</v>
      </c>
      <c r="B422" s="57">
        <v>38756</v>
      </c>
      <c r="C422" s="59">
        <v>512000</v>
      </c>
      <c r="D422" s="58">
        <f>VLOOKUP(C422,Comptes!$A$2:$B$60,2,FALSE)</f>
        <v>0</v>
      </c>
      <c r="E422" s="60">
        <v>756000</v>
      </c>
      <c r="F422" s="58">
        <f>VLOOKUP(E422,Comptes!$A$2:$B$60,2,FALSE)</f>
        <v>0</v>
      </c>
      <c r="G422" s="36" t="s">
        <v>170</v>
      </c>
      <c r="H422" s="59" t="s">
        <v>448</v>
      </c>
      <c r="I422" s="68">
        <v>73</v>
      </c>
      <c r="J422" s="35"/>
    </row>
    <row r="423" spans="1:10" ht="10.5">
      <c r="A423" s="65">
        <v>256089</v>
      </c>
      <c r="B423" s="57">
        <v>38756</v>
      </c>
      <c r="C423" s="59">
        <v>512000</v>
      </c>
      <c r="D423" s="58">
        <f>VLOOKUP(C423,Comptes!$A$2:$B$60,2,FALSE)</f>
        <v>0</v>
      </c>
      <c r="E423" s="60">
        <v>708000</v>
      </c>
      <c r="F423" s="58">
        <f>VLOOKUP(E423,Comptes!$A$2:$B$60,2,FALSE)</f>
        <v>0</v>
      </c>
      <c r="G423" s="36" t="s">
        <v>170</v>
      </c>
      <c r="H423" s="59" t="s">
        <v>448</v>
      </c>
      <c r="I423" s="68">
        <v>16</v>
      </c>
      <c r="J423" s="179"/>
    </row>
    <row r="424" spans="1:10" ht="10.5">
      <c r="A424" s="65">
        <v>256089</v>
      </c>
      <c r="B424" s="57">
        <v>38756</v>
      </c>
      <c r="C424" s="59">
        <v>512000</v>
      </c>
      <c r="D424" s="58">
        <f>VLOOKUP(C424,Comptes!$A$2:$B$60,2,FALSE)</f>
        <v>0</v>
      </c>
      <c r="E424" s="60">
        <v>756000</v>
      </c>
      <c r="F424" s="58">
        <f>VLOOKUP(E424,Comptes!$A$2:$B$60,2,FALSE)</f>
        <v>0</v>
      </c>
      <c r="G424" s="36" t="s">
        <v>170</v>
      </c>
      <c r="H424" s="59" t="s">
        <v>448</v>
      </c>
      <c r="I424" s="68">
        <v>41</v>
      </c>
      <c r="J424" s="35"/>
    </row>
    <row r="425" spans="1:10" ht="10.5">
      <c r="A425" s="65">
        <v>256089</v>
      </c>
      <c r="B425" s="57">
        <v>38756</v>
      </c>
      <c r="C425" s="59">
        <v>512000</v>
      </c>
      <c r="D425" s="58">
        <f>VLOOKUP(C425,Comptes!$A$2:$B$60,2,FALSE)</f>
        <v>0</v>
      </c>
      <c r="E425" s="60">
        <v>708000</v>
      </c>
      <c r="F425" s="58">
        <f>VLOOKUP(E425,Comptes!$A$2:$B$60,2,FALSE)</f>
        <v>0</v>
      </c>
      <c r="G425" s="36" t="s">
        <v>170</v>
      </c>
      <c r="H425" s="59" t="s">
        <v>448</v>
      </c>
      <c r="I425" s="68">
        <v>41</v>
      </c>
      <c r="J425" s="35"/>
    </row>
    <row r="426" spans="1:10" ht="10.5">
      <c r="A426" s="47">
        <v>256089</v>
      </c>
      <c r="B426" s="48">
        <v>38756</v>
      </c>
      <c r="C426" s="49">
        <v>512000</v>
      </c>
      <c r="D426" s="58">
        <f>VLOOKUP(C426,Comptes!$A$2:$B$60,2,FALSE)</f>
        <v>0</v>
      </c>
      <c r="E426" s="51">
        <v>511200</v>
      </c>
      <c r="F426" s="58">
        <f>VLOOKUP(E426,Comptes!$A$2:$B$60,2,FALSE)</f>
        <v>0</v>
      </c>
      <c r="G426" s="49" t="s">
        <v>170</v>
      </c>
      <c r="H426" s="59" t="s">
        <v>448</v>
      </c>
      <c r="I426" s="68">
        <v>82</v>
      </c>
      <c r="J426" s="35"/>
    </row>
    <row r="427" spans="1:10" ht="10.5">
      <c r="A427" s="65">
        <v>256089</v>
      </c>
      <c r="B427" s="57">
        <v>38756</v>
      </c>
      <c r="C427" s="59">
        <v>530000</v>
      </c>
      <c r="D427" s="58">
        <f>VLOOKUP(C427,Comptes!$A$2:$B$60,2,FALSE)</f>
        <v>0</v>
      </c>
      <c r="E427" s="60">
        <v>706210</v>
      </c>
      <c r="F427" s="58">
        <f>VLOOKUP(E427,Comptes!$A$2:$B$60,2,FALSE)</f>
        <v>0</v>
      </c>
      <c r="G427" s="36"/>
      <c r="H427" s="63"/>
      <c r="I427" s="68">
        <v>218</v>
      </c>
      <c r="J427" s="35"/>
    </row>
    <row r="428" spans="1:10" ht="10.5">
      <c r="A428" s="65">
        <v>256089</v>
      </c>
      <c r="B428" s="57">
        <v>38756</v>
      </c>
      <c r="C428" s="59">
        <v>530000</v>
      </c>
      <c r="D428" s="58">
        <f>VLOOKUP(C428,Comptes!$A$2:$B$60,2,FALSE)</f>
        <v>0</v>
      </c>
      <c r="E428" s="60">
        <v>706220</v>
      </c>
      <c r="F428" s="58">
        <f>VLOOKUP(E428,Comptes!$A$2:$B$60,2,FALSE)</f>
        <v>0</v>
      </c>
      <c r="G428" s="36"/>
      <c r="H428" s="63"/>
      <c r="I428" s="68">
        <v>150</v>
      </c>
      <c r="J428" s="35"/>
    </row>
    <row r="429" spans="1:10" ht="10.5">
      <c r="A429" s="65">
        <v>256089</v>
      </c>
      <c r="B429" s="57">
        <v>38756</v>
      </c>
      <c r="C429" s="59">
        <v>530000</v>
      </c>
      <c r="D429" s="58">
        <f>VLOOKUP(C429,Comptes!$A$2:$B$60,2,FALSE)</f>
        <v>0</v>
      </c>
      <c r="E429" s="60">
        <v>706230</v>
      </c>
      <c r="F429" s="58">
        <f>VLOOKUP(E429,Comptes!$A$2:$B$60,2,FALSE)</f>
        <v>0</v>
      </c>
      <c r="G429" s="36"/>
      <c r="H429" s="63"/>
      <c r="I429" s="68">
        <v>270</v>
      </c>
      <c r="J429" s="35"/>
    </row>
    <row r="430" spans="1:10" ht="10.5">
      <c r="A430" s="65">
        <v>256089</v>
      </c>
      <c r="B430" s="57">
        <v>38756</v>
      </c>
      <c r="C430" s="59">
        <v>530000</v>
      </c>
      <c r="D430" s="58">
        <f>VLOOKUP(C430,Comptes!$A$2:$B$60,2,FALSE)</f>
        <v>0</v>
      </c>
      <c r="E430" s="59">
        <v>706230</v>
      </c>
      <c r="F430" s="58">
        <f>VLOOKUP(E430,Comptes!$A$2:$B$60,2,FALSE)</f>
        <v>0</v>
      </c>
      <c r="G430" s="36"/>
      <c r="H430" s="63"/>
      <c r="I430" s="61">
        <v>65</v>
      </c>
      <c r="J430" s="64"/>
    </row>
    <row r="431" spans="1:10" ht="10.5">
      <c r="A431" s="65">
        <v>256089</v>
      </c>
      <c r="B431" s="57">
        <v>38756</v>
      </c>
      <c r="C431" s="59">
        <v>512000</v>
      </c>
      <c r="D431" s="58">
        <f>VLOOKUP(C431,Comptes!$A$2:$B$60,2,FALSE)</f>
        <v>0</v>
      </c>
      <c r="E431" s="59">
        <v>530000</v>
      </c>
      <c r="F431" s="58">
        <f>VLOOKUP(E431,Comptes!$A$2:$B$60,2,FALSE)</f>
        <v>0</v>
      </c>
      <c r="G431" s="36" t="s">
        <v>164</v>
      </c>
      <c r="H431" s="59" t="s">
        <v>448</v>
      </c>
      <c r="I431" s="61">
        <v>510</v>
      </c>
      <c r="J431" s="64"/>
    </row>
    <row r="432" spans="1:10" ht="10.5">
      <c r="A432" s="65">
        <v>256090</v>
      </c>
      <c r="B432" s="57">
        <v>38756</v>
      </c>
      <c r="C432" s="59">
        <v>606700</v>
      </c>
      <c r="D432" s="58">
        <f>VLOOKUP(C432,Comptes!$A$2:$B$60,2,FALSE)</f>
        <v>0</v>
      </c>
      <c r="E432" s="59">
        <v>530000</v>
      </c>
      <c r="F432" s="58">
        <f>VLOOKUP(E432,Comptes!$A$2:$B$60,2,FALSE)</f>
        <v>0</v>
      </c>
      <c r="G432" s="36"/>
      <c r="H432" s="63"/>
      <c r="I432" s="61">
        <v>16.65</v>
      </c>
      <c r="J432" s="35"/>
    </row>
    <row r="433" spans="1:10" ht="10.5">
      <c r="A433" s="65">
        <v>256091</v>
      </c>
      <c r="B433" s="57">
        <v>38756</v>
      </c>
      <c r="C433" s="60">
        <v>606150</v>
      </c>
      <c r="D433" s="58">
        <f>VLOOKUP(C433,Comptes!$A$2:$B$60,2,FALSE)</f>
        <v>0</v>
      </c>
      <c r="E433" s="59">
        <v>512000</v>
      </c>
      <c r="F433" s="58">
        <f>VLOOKUP(E433,Comptes!$A$2:$B$60,2,FALSE)</f>
        <v>0</v>
      </c>
      <c r="G433" s="59" t="s">
        <v>467</v>
      </c>
      <c r="H433" s="59" t="s">
        <v>459</v>
      </c>
      <c r="I433" s="61">
        <v>2470</v>
      </c>
      <c r="J433" s="35"/>
    </row>
    <row r="434" spans="1:10" ht="10.5">
      <c r="A434" s="65">
        <v>256092</v>
      </c>
      <c r="B434" s="57">
        <v>38758</v>
      </c>
      <c r="C434" s="60">
        <v>626000</v>
      </c>
      <c r="D434" s="58">
        <f>VLOOKUP(C434,Comptes!$A$2:$B$60,2,FALSE)</f>
        <v>0</v>
      </c>
      <c r="E434" s="59">
        <v>512000</v>
      </c>
      <c r="F434" s="58">
        <f>VLOOKUP(E434,Comptes!$A$2:$B$60,2,FALSE)</f>
        <v>0</v>
      </c>
      <c r="G434" s="59" t="s">
        <v>468</v>
      </c>
      <c r="H434" s="59" t="s">
        <v>448</v>
      </c>
      <c r="I434" s="61">
        <v>235.4</v>
      </c>
      <c r="J434" s="35"/>
    </row>
    <row r="435" spans="1:10" ht="10.5">
      <c r="A435" s="65">
        <v>245163</v>
      </c>
      <c r="B435" s="57">
        <v>38761</v>
      </c>
      <c r="C435" s="60">
        <v>606110</v>
      </c>
      <c r="D435" s="58">
        <f>VLOOKUP(C435,Comptes!$A$2:$B$60,2,FALSE)</f>
        <v>0</v>
      </c>
      <c r="E435" s="59">
        <v>512000</v>
      </c>
      <c r="F435" s="58">
        <f>VLOOKUP(E435,Comptes!$A$2:$B$60,2,FALSE)</f>
        <v>0</v>
      </c>
      <c r="G435" s="59" t="s">
        <v>178</v>
      </c>
      <c r="H435" s="59" t="s">
        <v>448</v>
      </c>
      <c r="I435" s="61">
        <v>149</v>
      </c>
      <c r="J435" s="64"/>
    </row>
    <row r="436" spans="1:10" ht="10.5">
      <c r="A436" s="65">
        <v>256093</v>
      </c>
      <c r="B436" s="57">
        <v>38762</v>
      </c>
      <c r="C436" s="60">
        <v>626500</v>
      </c>
      <c r="D436" s="58">
        <f>VLOOKUP(C436,Comptes!$A$2:$B$60,2,FALSE)</f>
        <v>0</v>
      </c>
      <c r="E436" s="59">
        <v>512000</v>
      </c>
      <c r="F436" s="58">
        <f>VLOOKUP(E436,Comptes!$A$2:$B$60,2,FALSE)</f>
        <v>0</v>
      </c>
      <c r="G436" s="36" t="s">
        <v>178</v>
      </c>
      <c r="H436" s="59" t="s">
        <v>448</v>
      </c>
      <c r="I436" s="61">
        <v>19.9</v>
      </c>
      <c r="J436" s="35"/>
    </row>
    <row r="437" spans="1:10" ht="10.5">
      <c r="A437" s="65">
        <v>256094</v>
      </c>
      <c r="B437" s="57">
        <v>38765</v>
      </c>
      <c r="C437" s="60">
        <v>512000</v>
      </c>
      <c r="D437" s="58">
        <f>VLOOKUP(C437,Comptes!$A$2:$B$60,2,FALSE)</f>
        <v>0</v>
      </c>
      <c r="E437" s="59">
        <v>706210</v>
      </c>
      <c r="F437" s="58">
        <f>VLOOKUP(E437,Comptes!$A$2:$B$60,2,FALSE)</f>
        <v>0</v>
      </c>
      <c r="G437" s="59" t="s">
        <v>170</v>
      </c>
      <c r="H437" s="59" t="s">
        <v>459</v>
      </c>
      <c r="I437" s="61">
        <v>258</v>
      </c>
      <c r="J437" s="35"/>
    </row>
    <row r="438" spans="1:10" ht="10.5">
      <c r="A438" s="65">
        <v>256094</v>
      </c>
      <c r="B438" s="57">
        <v>38765</v>
      </c>
      <c r="C438" s="60">
        <v>512000</v>
      </c>
      <c r="D438" s="58">
        <f>VLOOKUP(C438,Comptes!$A$2:$B$60,2,FALSE)</f>
        <v>0</v>
      </c>
      <c r="E438" s="59">
        <v>706220</v>
      </c>
      <c r="F438" s="58">
        <f>VLOOKUP(E438,Comptes!$A$2:$B$60,2,FALSE)</f>
        <v>0</v>
      </c>
      <c r="G438" s="59" t="s">
        <v>170</v>
      </c>
      <c r="H438" s="59" t="s">
        <v>459</v>
      </c>
      <c r="I438" s="61">
        <v>234</v>
      </c>
      <c r="J438" s="176"/>
    </row>
    <row r="439" spans="1:10" ht="10.5">
      <c r="A439" s="65">
        <v>256094</v>
      </c>
      <c r="B439" s="57">
        <v>38765</v>
      </c>
      <c r="C439" s="60">
        <v>512000</v>
      </c>
      <c r="D439" s="58">
        <f>VLOOKUP(C439,Comptes!$A$2:$B$60,2,FALSE)</f>
        <v>0</v>
      </c>
      <c r="E439" s="59">
        <v>706230</v>
      </c>
      <c r="F439" s="58">
        <f>VLOOKUP(E439,Comptes!$A$2:$B$60,2,FALSE)</f>
        <v>0</v>
      </c>
      <c r="G439" s="59" t="s">
        <v>170</v>
      </c>
      <c r="H439" s="59" t="s">
        <v>459</v>
      </c>
      <c r="I439" s="61">
        <v>996</v>
      </c>
      <c r="J439" s="35"/>
    </row>
    <row r="440" spans="1:10" ht="10.5">
      <c r="A440" s="65">
        <v>256094</v>
      </c>
      <c r="B440" s="57">
        <v>38765</v>
      </c>
      <c r="C440" s="60">
        <v>512000</v>
      </c>
      <c r="D440" s="58">
        <f>VLOOKUP(C440,Comptes!$A$2:$B$60,2,FALSE)</f>
        <v>0</v>
      </c>
      <c r="E440" s="59">
        <v>756000</v>
      </c>
      <c r="F440" s="58">
        <f>VLOOKUP(E440,Comptes!$A$2:$B$60,2,FALSE)</f>
        <v>0</v>
      </c>
      <c r="G440" s="59" t="s">
        <v>170</v>
      </c>
      <c r="H440" s="59" t="s">
        <v>459</v>
      </c>
      <c r="I440" s="61">
        <v>9</v>
      </c>
      <c r="J440" s="35"/>
    </row>
    <row r="441" spans="1:10" ht="10.5">
      <c r="A441" s="65">
        <v>256094</v>
      </c>
      <c r="B441" s="57">
        <v>38765</v>
      </c>
      <c r="C441" s="60">
        <v>530000</v>
      </c>
      <c r="D441" s="58">
        <f>VLOOKUP(C441,Comptes!$A$2:$B$60,2,FALSE)</f>
        <v>0</v>
      </c>
      <c r="E441" s="59">
        <v>706230</v>
      </c>
      <c r="F441" s="58">
        <f>VLOOKUP(E441,Comptes!$A$2:$B$60,2,FALSE)</f>
        <v>0</v>
      </c>
      <c r="G441" s="59"/>
      <c r="H441" s="63"/>
      <c r="I441" s="61">
        <v>80</v>
      </c>
      <c r="J441" s="35"/>
    </row>
    <row r="442" spans="1:10" ht="10.5">
      <c r="A442" s="65">
        <v>256095</v>
      </c>
      <c r="B442" s="57">
        <v>38765</v>
      </c>
      <c r="C442" s="60">
        <v>606700</v>
      </c>
      <c r="D442" s="58">
        <f>VLOOKUP(C442,Comptes!$A$2:$B$60,2,FALSE)</f>
        <v>0</v>
      </c>
      <c r="E442" s="59">
        <v>530000</v>
      </c>
      <c r="F442" s="58">
        <f>VLOOKUP(E442,Comptes!$A$2:$B$60,2,FALSE)</f>
        <v>0</v>
      </c>
      <c r="G442" s="59"/>
      <c r="H442" s="63"/>
      <c r="I442" s="61">
        <f>49.6+164.68+24.3+20.15</f>
        <v>258.73</v>
      </c>
      <c r="J442" s="35"/>
    </row>
    <row r="443" spans="1:10" ht="10.5">
      <c r="A443" s="65">
        <v>256095</v>
      </c>
      <c r="B443" s="57">
        <v>38765</v>
      </c>
      <c r="C443" s="60">
        <v>606700</v>
      </c>
      <c r="D443" s="58">
        <f>VLOOKUP(C443,Comptes!$A$2:$B$60,2,FALSE)</f>
        <v>0</v>
      </c>
      <c r="E443" s="59">
        <v>530000</v>
      </c>
      <c r="F443" s="58">
        <f>VLOOKUP(E443,Comptes!$A$2:$B$60,2,FALSE)</f>
        <v>0</v>
      </c>
      <c r="G443" s="59"/>
      <c r="H443" s="63"/>
      <c r="I443" s="61">
        <v>43</v>
      </c>
      <c r="J443" s="35"/>
    </row>
    <row r="444" spans="1:10" ht="10.5">
      <c r="A444" s="65">
        <v>256095</v>
      </c>
      <c r="B444" s="57">
        <v>38765</v>
      </c>
      <c r="C444" s="60">
        <v>606700</v>
      </c>
      <c r="D444" s="58">
        <f>VLOOKUP(C444,Comptes!$A$2:$B$60,2,FALSE)</f>
        <v>0</v>
      </c>
      <c r="E444" s="59">
        <v>512000</v>
      </c>
      <c r="F444" s="58">
        <f>VLOOKUP(E444,Comptes!$A$2:$B$60,2,FALSE)</f>
        <v>0</v>
      </c>
      <c r="G444" s="59" t="s">
        <v>469</v>
      </c>
      <c r="H444" s="59" t="s">
        <v>459</v>
      </c>
      <c r="I444" s="61">
        <v>170.26</v>
      </c>
      <c r="J444" s="35"/>
    </row>
    <row r="445" spans="1:10" ht="10.5">
      <c r="A445" s="65">
        <v>256096</v>
      </c>
      <c r="B445" s="57">
        <v>38751</v>
      </c>
      <c r="C445" s="60">
        <v>512000</v>
      </c>
      <c r="D445" s="58">
        <f>VLOOKUP(C445,Comptes!$A$2:$B$60,2,FALSE)</f>
        <v>0</v>
      </c>
      <c r="E445" s="59">
        <v>754000</v>
      </c>
      <c r="F445" s="58">
        <f>VLOOKUP(E445,Comptes!$A$2:$B$60,2,FALSE)</f>
        <v>0</v>
      </c>
      <c r="G445" s="59" t="s">
        <v>171</v>
      </c>
      <c r="H445" s="59" t="s">
        <v>448</v>
      </c>
      <c r="I445" s="61">
        <v>150</v>
      </c>
      <c r="J445" s="64"/>
    </row>
    <row r="446" spans="1:10" ht="10.5">
      <c r="A446" s="65">
        <v>256096</v>
      </c>
      <c r="B446" s="57">
        <v>38751</v>
      </c>
      <c r="C446" s="60">
        <v>512000</v>
      </c>
      <c r="D446" s="58">
        <f>VLOOKUP(C446,Comptes!$A$2:$B$60,2,FALSE)</f>
        <v>0</v>
      </c>
      <c r="E446" s="59">
        <v>754000</v>
      </c>
      <c r="F446" s="58">
        <f>VLOOKUP(E446,Comptes!$A$2:$B$60,2,FALSE)</f>
        <v>0</v>
      </c>
      <c r="G446" s="59" t="s">
        <v>171</v>
      </c>
      <c r="H446" s="59" t="s">
        <v>448</v>
      </c>
      <c r="I446" s="61">
        <v>15</v>
      </c>
      <c r="J446" s="35"/>
    </row>
    <row r="447" spans="1:10" ht="10.5">
      <c r="A447" s="65">
        <v>256096</v>
      </c>
      <c r="B447" s="57">
        <v>38758</v>
      </c>
      <c r="C447" s="60">
        <v>512000</v>
      </c>
      <c r="D447" s="58">
        <f>VLOOKUP(C447,Comptes!$A$2:$B$60,2,FALSE)</f>
        <v>0</v>
      </c>
      <c r="E447" s="59">
        <v>754000</v>
      </c>
      <c r="F447" s="58">
        <f>VLOOKUP(E447,Comptes!$A$2:$B$60,2,FALSE)</f>
        <v>0</v>
      </c>
      <c r="G447" s="59" t="s">
        <v>171</v>
      </c>
      <c r="H447" s="59" t="s">
        <v>448</v>
      </c>
      <c r="I447" s="61">
        <v>15</v>
      </c>
      <c r="J447" s="64"/>
    </row>
    <row r="448" spans="1:10" ht="10.5">
      <c r="A448" s="65">
        <v>256096</v>
      </c>
      <c r="B448" s="57">
        <v>38763</v>
      </c>
      <c r="C448" s="59">
        <v>512000</v>
      </c>
      <c r="D448" s="58">
        <f>VLOOKUP(C448,Comptes!$A$2:$B$60,2,FALSE)</f>
        <v>0</v>
      </c>
      <c r="E448" s="60">
        <v>754000</v>
      </c>
      <c r="F448" s="58">
        <f>VLOOKUP(E448,Comptes!$A$2:$B$60,2,FALSE)</f>
        <v>0</v>
      </c>
      <c r="G448" s="59" t="s">
        <v>171</v>
      </c>
      <c r="H448" s="59" t="s">
        <v>448</v>
      </c>
      <c r="I448" s="68">
        <v>12.5</v>
      </c>
      <c r="J448" s="64"/>
    </row>
    <row r="449" spans="1:10" ht="10.5">
      <c r="A449" s="65">
        <v>256096</v>
      </c>
      <c r="B449" s="57">
        <v>38763</v>
      </c>
      <c r="C449" s="59">
        <v>512000</v>
      </c>
      <c r="D449" s="58">
        <f>VLOOKUP(C449,Comptes!$A$2:$B$60,2,FALSE)</f>
        <v>0</v>
      </c>
      <c r="E449" s="60">
        <v>754000</v>
      </c>
      <c r="F449" s="58">
        <f>VLOOKUP(E449,Comptes!$A$2:$B$60,2,FALSE)</f>
        <v>0</v>
      </c>
      <c r="G449" s="59" t="s">
        <v>171</v>
      </c>
      <c r="H449" s="59" t="s">
        <v>448</v>
      </c>
      <c r="I449" s="68">
        <v>30</v>
      </c>
      <c r="J449" s="64"/>
    </row>
    <row r="450" spans="1:10" ht="10.5">
      <c r="A450" s="65">
        <v>256097</v>
      </c>
      <c r="B450" s="57">
        <v>38765</v>
      </c>
      <c r="C450" s="60">
        <v>625000</v>
      </c>
      <c r="D450" s="58">
        <f>VLOOKUP(C450,Comptes!$A$2:$B$60,2,FALSE)</f>
        <v>0</v>
      </c>
      <c r="E450" s="59">
        <v>530000</v>
      </c>
      <c r="F450" s="58">
        <f>VLOOKUP(E450,Comptes!$A$2:$B$60,2,FALSE)</f>
        <v>0</v>
      </c>
      <c r="G450" s="59"/>
      <c r="H450" s="63"/>
      <c r="I450" s="61">
        <v>52.8</v>
      </c>
      <c r="J450" s="35"/>
    </row>
    <row r="451" spans="1:10" ht="10.5">
      <c r="A451" s="65">
        <v>256098</v>
      </c>
      <c r="B451" s="57">
        <v>38765</v>
      </c>
      <c r="C451" s="60">
        <v>630000</v>
      </c>
      <c r="D451" s="58">
        <f>VLOOKUP(C451,Comptes!$A$2:$B$60,2,FALSE)</f>
        <v>0</v>
      </c>
      <c r="E451" s="59">
        <v>512000</v>
      </c>
      <c r="F451" s="58">
        <f>VLOOKUP(E451,Comptes!$A$2:$B$60,2,FALSE)</f>
        <v>0</v>
      </c>
      <c r="G451" s="59" t="s">
        <v>470</v>
      </c>
      <c r="H451" s="59" t="s">
        <v>471</v>
      </c>
      <c r="I451" s="61">
        <v>111</v>
      </c>
      <c r="J451" s="35"/>
    </row>
    <row r="452" spans="1:10" ht="10.5">
      <c r="A452" s="65">
        <v>256099</v>
      </c>
      <c r="B452" s="57">
        <v>38767</v>
      </c>
      <c r="C452" s="59">
        <v>615000</v>
      </c>
      <c r="D452" s="58">
        <f>VLOOKUP(C452,Comptes!$A$2:$B$60,2,FALSE)</f>
        <v>0</v>
      </c>
      <c r="E452" s="59">
        <v>512000</v>
      </c>
      <c r="F452" s="58">
        <f>VLOOKUP(E452,Comptes!$A$2:$B$60,2,FALSE)</f>
        <v>0</v>
      </c>
      <c r="G452" s="59" t="s">
        <v>472</v>
      </c>
      <c r="H452" s="59" t="s">
        <v>473</v>
      </c>
      <c r="I452" s="68">
        <v>380</v>
      </c>
      <c r="J452" s="66"/>
    </row>
    <row r="453" spans="1:10" ht="10.5">
      <c r="A453" s="65">
        <v>256100</v>
      </c>
      <c r="B453" s="57">
        <v>38768</v>
      </c>
      <c r="C453" s="59">
        <v>512000</v>
      </c>
      <c r="D453" s="58">
        <f>VLOOKUP(C453,Comptes!$A$2:$B$60,2,FALSE)</f>
        <v>0</v>
      </c>
      <c r="E453" s="59">
        <v>706100</v>
      </c>
      <c r="F453" s="58">
        <f>VLOOKUP(E453,Comptes!$A$2:$B$60,2,FALSE)</f>
        <v>0</v>
      </c>
      <c r="G453" s="36" t="s">
        <v>170</v>
      </c>
      <c r="H453" s="59" t="s">
        <v>459</v>
      </c>
      <c r="I453" s="61">
        <v>100</v>
      </c>
      <c r="J453" s="64"/>
    </row>
    <row r="454" spans="1:10" ht="10.5">
      <c r="A454" s="65">
        <v>256100</v>
      </c>
      <c r="B454" s="57">
        <v>38768</v>
      </c>
      <c r="C454" s="59">
        <v>512000</v>
      </c>
      <c r="D454" s="58">
        <f>VLOOKUP(C454,Comptes!$A$2:$B$60,2,FALSE)</f>
        <v>0</v>
      </c>
      <c r="E454" s="59">
        <v>706420</v>
      </c>
      <c r="F454" s="58">
        <f>VLOOKUP(E454,Comptes!$A$2:$B$60,2,FALSE)</f>
        <v>0</v>
      </c>
      <c r="G454" s="36" t="s">
        <v>170</v>
      </c>
      <c r="H454" s="59" t="s">
        <v>459</v>
      </c>
      <c r="I454" s="61">
        <v>832.61</v>
      </c>
      <c r="J454" s="64"/>
    </row>
    <row r="455" spans="1:10" ht="10.5">
      <c r="A455" s="65">
        <v>256100</v>
      </c>
      <c r="B455" s="57">
        <v>38768</v>
      </c>
      <c r="C455" s="59">
        <v>512000</v>
      </c>
      <c r="D455" s="58">
        <f>VLOOKUP(C455,Comptes!$A$2:$B$60,2,FALSE)</f>
        <v>0</v>
      </c>
      <c r="E455" s="59">
        <v>756000</v>
      </c>
      <c r="F455" s="58">
        <f>VLOOKUP(E455,Comptes!$A$2:$B$60,2,FALSE)</f>
        <v>0</v>
      </c>
      <c r="G455" s="36" t="s">
        <v>170</v>
      </c>
      <c r="H455" s="59" t="s">
        <v>459</v>
      </c>
      <c r="I455" s="61">
        <v>9</v>
      </c>
      <c r="J455" s="64"/>
    </row>
    <row r="456" spans="1:10" ht="10.5">
      <c r="A456" s="65">
        <v>256100</v>
      </c>
      <c r="B456" s="57">
        <v>38768</v>
      </c>
      <c r="C456" s="59">
        <v>512000</v>
      </c>
      <c r="D456" s="58">
        <f>VLOOKUP(C456,Comptes!$A$2:$B$60,2,FALSE)</f>
        <v>0</v>
      </c>
      <c r="E456" s="59">
        <v>706100</v>
      </c>
      <c r="F456" s="58">
        <f>VLOOKUP(E456,Comptes!$A$2:$B$60,2,FALSE)</f>
        <v>0</v>
      </c>
      <c r="G456" s="36" t="s">
        <v>164</v>
      </c>
      <c r="H456" s="59" t="s">
        <v>459</v>
      </c>
      <c r="I456" s="61">
        <v>50</v>
      </c>
      <c r="J456" s="64"/>
    </row>
    <row r="457" spans="1:10" ht="10.5">
      <c r="A457" s="65">
        <v>256101</v>
      </c>
      <c r="B457" s="57">
        <v>38772</v>
      </c>
      <c r="C457" s="59">
        <v>626500</v>
      </c>
      <c r="D457" s="58">
        <f>VLOOKUP(C457,Comptes!$A$2:$B$60,2,FALSE)</f>
        <v>0</v>
      </c>
      <c r="E457" s="59">
        <v>512000</v>
      </c>
      <c r="F457" s="58">
        <f>VLOOKUP(E457,Comptes!$A$2:$B$60,2,FALSE)</f>
        <v>0</v>
      </c>
      <c r="G457" s="36" t="s">
        <v>178</v>
      </c>
      <c r="H457" s="59" t="s">
        <v>459</v>
      </c>
      <c r="I457" s="61">
        <v>50.11</v>
      </c>
      <c r="J457" s="64"/>
    </row>
    <row r="458" spans="1:10" ht="10.5">
      <c r="A458" s="65">
        <v>256102</v>
      </c>
      <c r="B458" s="57">
        <v>38773</v>
      </c>
      <c r="C458" s="59">
        <v>606700</v>
      </c>
      <c r="D458" s="58">
        <f>VLOOKUP(C458,Comptes!$A$2:$B$60,2,FALSE)</f>
        <v>0</v>
      </c>
      <c r="E458" s="59">
        <v>530000</v>
      </c>
      <c r="F458" s="58">
        <f>VLOOKUP(E458,Comptes!$A$2:$B$60,2,FALSE)</f>
        <v>0</v>
      </c>
      <c r="G458" s="36"/>
      <c r="H458" s="63"/>
      <c r="I458" s="61">
        <f>46.23+4.8+5.5+5.85+2.59+1.44</f>
        <v>66.41</v>
      </c>
      <c r="J458" s="172"/>
    </row>
    <row r="459" spans="1:10" ht="10.5">
      <c r="A459" s="65">
        <v>256102</v>
      </c>
      <c r="B459" s="57">
        <v>38773</v>
      </c>
      <c r="C459" s="59">
        <v>615000</v>
      </c>
      <c r="D459" s="58">
        <f>VLOOKUP(C459,Comptes!$A$2:$B$60,2,FALSE)</f>
        <v>0</v>
      </c>
      <c r="E459" s="59">
        <v>530000</v>
      </c>
      <c r="F459" s="58">
        <f>VLOOKUP(E459,Comptes!$A$2:$B$60,2,FALSE)</f>
        <v>0</v>
      </c>
      <c r="G459" s="36"/>
      <c r="H459" s="63"/>
      <c r="I459" s="61">
        <v>10.54</v>
      </c>
      <c r="J459" s="35"/>
    </row>
    <row r="460" spans="1:10" ht="10.5">
      <c r="A460" s="65">
        <v>256102</v>
      </c>
      <c r="B460" s="57">
        <v>38773</v>
      </c>
      <c r="C460" s="59">
        <v>615000</v>
      </c>
      <c r="D460" s="58">
        <f>VLOOKUP(C460,Comptes!$A$2:$B$60,2,FALSE)</f>
        <v>0</v>
      </c>
      <c r="E460" s="59">
        <v>530000</v>
      </c>
      <c r="F460" s="58">
        <f>VLOOKUP(E460,Comptes!$A$2:$B$60,2,FALSE)</f>
        <v>0</v>
      </c>
      <c r="G460" s="36"/>
      <c r="H460" s="63"/>
      <c r="I460" s="61">
        <v>40.2</v>
      </c>
      <c r="J460" s="35"/>
    </row>
    <row r="461" spans="1:10" ht="10.5">
      <c r="A461" s="65">
        <v>256103</v>
      </c>
      <c r="B461" s="57">
        <v>38774</v>
      </c>
      <c r="C461" s="59">
        <v>512000</v>
      </c>
      <c r="D461" s="58">
        <f>VLOOKUP(C461,Comptes!$A$2:$B$60,2,FALSE)</f>
        <v>0</v>
      </c>
      <c r="E461" s="59">
        <v>706210</v>
      </c>
      <c r="F461" s="58">
        <f>VLOOKUP(E461,Comptes!$A$2:$B$60,2,FALSE)</f>
        <v>0</v>
      </c>
      <c r="G461" s="36" t="s">
        <v>170</v>
      </c>
      <c r="H461" s="59" t="s">
        <v>459</v>
      </c>
      <c r="I461" s="61">
        <v>30</v>
      </c>
      <c r="J461" s="35"/>
    </row>
    <row r="462" spans="1:10" ht="10.5">
      <c r="A462" s="65">
        <v>256103</v>
      </c>
      <c r="B462" s="57">
        <v>38774</v>
      </c>
      <c r="C462" s="59">
        <v>512000</v>
      </c>
      <c r="D462" s="58">
        <f>VLOOKUP(C462,Comptes!$A$2:$B$60,2,FALSE)</f>
        <v>0</v>
      </c>
      <c r="E462" s="59">
        <v>706220</v>
      </c>
      <c r="F462" s="58">
        <f>VLOOKUP(E462,Comptes!$A$2:$B$60,2,FALSE)</f>
        <v>0</v>
      </c>
      <c r="G462" s="36" t="s">
        <v>170</v>
      </c>
      <c r="H462" s="59" t="s">
        <v>459</v>
      </c>
      <c r="I462" s="61">
        <v>108</v>
      </c>
      <c r="J462" s="176"/>
    </row>
    <row r="463" spans="1:10" ht="10.5">
      <c r="A463" s="65">
        <v>256103</v>
      </c>
      <c r="B463" s="57">
        <v>38774</v>
      </c>
      <c r="C463" s="59">
        <v>512000</v>
      </c>
      <c r="D463" s="58">
        <f>VLOOKUP(C463,Comptes!$A$2:$B$60,2,FALSE)</f>
        <v>0</v>
      </c>
      <c r="E463" s="59">
        <v>706230</v>
      </c>
      <c r="F463" s="58">
        <f>VLOOKUP(E463,Comptes!$A$2:$B$60,2,FALSE)</f>
        <v>0</v>
      </c>
      <c r="G463" s="36" t="s">
        <v>170</v>
      </c>
      <c r="H463" s="59" t="s">
        <v>459</v>
      </c>
      <c r="I463" s="61">
        <v>232</v>
      </c>
      <c r="J463" s="35"/>
    </row>
    <row r="464" spans="1:10" ht="10.5">
      <c r="A464" s="65">
        <v>256103</v>
      </c>
      <c r="B464" s="57">
        <v>38774</v>
      </c>
      <c r="C464" s="59">
        <v>512000</v>
      </c>
      <c r="D464" s="58">
        <f>VLOOKUP(C464,Comptes!$A$2:$B$60,2,FALSE)</f>
        <v>0</v>
      </c>
      <c r="E464" s="59">
        <v>706220</v>
      </c>
      <c r="F464" s="58">
        <f>VLOOKUP(E464,Comptes!$A$2:$B$60,2,FALSE)</f>
        <v>0</v>
      </c>
      <c r="G464" s="36" t="s">
        <v>170</v>
      </c>
      <c r="H464" s="59" t="s">
        <v>459</v>
      </c>
      <c r="I464" s="61">
        <v>91</v>
      </c>
      <c r="J464" s="35"/>
    </row>
    <row r="465" spans="1:10" ht="10.5">
      <c r="A465" s="65">
        <v>256103</v>
      </c>
      <c r="B465" s="57">
        <v>38774</v>
      </c>
      <c r="C465" s="59">
        <v>530000</v>
      </c>
      <c r="D465" s="58">
        <f>VLOOKUP(C465,Comptes!$A$2:$B$60,2,FALSE)</f>
        <v>0</v>
      </c>
      <c r="E465" s="59">
        <v>706220</v>
      </c>
      <c r="F465" s="58">
        <f>VLOOKUP(E465,Comptes!$A$2:$B$60,2,FALSE)</f>
        <v>0</v>
      </c>
      <c r="G465" s="36"/>
      <c r="H465" s="63"/>
      <c r="I465" s="61">
        <v>76</v>
      </c>
      <c r="J465" s="35"/>
    </row>
    <row r="466" spans="1:10" ht="10.5">
      <c r="A466" s="65">
        <v>256103</v>
      </c>
      <c r="B466" s="57">
        <v>38774</v>
      </c>
      <c r="C466" s="59">
        <v>530000</v>
      </c>
      <c r="D466" s="58">
        <f>VLOOKUP(C466,Comptes!$A$2:$B$60,2,FALSE)</f>
        <v>0</v>
      </c>
      <c r="E466" s="59">
        <v>706210</v>
      </c>
      <c r="F466" s="58">
        <f>VLOOKUP(E466,Comptes!$A$2:$B$60,2,FALSE)</f>
        <v>0</v>
      </c>
      <c r="G466" s="36"/>
      <c r="H466" s="63"/>
      <c r="I466" s="61">
        <v>90</v>
      </c>
      <c r="J466" s="35"/>
    </row>
    <row r="467" spans="1:10" ht="10.5">
      <c r="A467" s="65">
        <v>256103</v>
      </c>
      <c r="B467" s="57">
        <v>38774</v>
      </c>
      <c r="C467" s="59">
        <v>530000</v>
      </c>
      <c r="D467" s="58">
        <f>VLOOKUP(C467,Comptes!$A$2:$B$60,2,FALSE)</f>
        <v>0</v>
      </c>
      <c r="E467" s="59">
        <v>706220</v>
      </c>
      <c r="F467" s="58">
        <f>VLOOKUP(E467,Comptes!$A$2:$B$60,2,FALSE)</f>
        <v>0</v>
      </c>
      <c r="G467" s="36"/>
      <c r="H467" s="63"/>
      <c r="I467" s="61">
        <v>68</v>
      </c>
      <c r="J467" s="35"/>
    </row>
    <row r="468" spans="1:10" ht="10.5">
      <c r="A468" s="65">
        <v>256103</v>
      </c>
      <c r="B468" s="57">
        <v>38774</v>
      </c>
      <c r="C468" s="59">
        <v>530000</v>
      </c>
      <c r="D468" s="58">
        <f>VLOOKUP(C468,Comptes!$A$2:$B$60,2,FALSE)</f>
        <v>0</v>
      </c>
      <c r="E468" s="59">
        <v>706230</v>
      </c>
      <c r="F468" s="58">
        <f>VLOOKUP(E468,Comptes!$A$2:$B$60,2,FALSE)</f>
        <v>0</v>
      </c>
      <c r="G468" s="36"/>
      <c r="H468" s="63"/>
      <c r="I468" s="61">
        <v>190</v>
      </c>
      <c r="J468" s="35"/>
    </row>
    <row r="469" spans="1:10" ht="10.5">
      <c r="A469" s="65">
        <v>256104</v>
      </c>
      <c r="B469" s="57">
        <v>38776</v>
      </c>
      <c r="C469" s="59">
        <v>512000</v>
      </c>
      <c r="D469" s="58">
        <f>VLOOKUP(C469,Comptes!$A$2:$B$60,2,FALSE)</f>
        <v>0</v>
      </c>
      <c r="E469" s="59">
        <v>756000</v>
      </c>
      <c r="F469" s="58">
        <f>VLOOKUP(E469,Comptes!$A$2:$B$60,2,FALSE)</f>
        <v>0</v>
      </c>
      <c r="G469" s="36"/>
      <c r="H469" s="59" t="s">
        <v>471</v>
      </c>
      <c r="I469" s="61">
        <v>145</v>
      </c>
      <c r="J469" s="35"/>
    </row>
    <row r="470" spans="1:10" ht="10.5">
      <c r="A470" s="65">
        <v>256104</v>
      </c>
      <c r="B470" s="57">
        <v>38776</v>
      </c>
      <c r="C470" s="59">
        <v>512000</v>
      </c>
      <c r="D470" s="58">
        <f>VLOOKUP(C470,Comptes!$A$2:$B$60,2,FALSE)</f>
        <v>0</v>
      </c>
      <c r="E470" s="59">
        <v>708000</v>
      </c>
      <c r="F470" s="58">
        <f>VLOOKUP(E470,Comptes!$A$2:$B$60,2,FALSE)</f>
        <v>0</v>
      </c>
      <c r="G470" s="36"/>
      <c r="H470" s="59" t="s">
        <v>471</v>
      </c>
      <c r="I470" s="61">
        <v>32</v>
      </c>
      <c r="J470" s="176"/>
    </row>
    <row r="471" spans="1:10" ht="10.5">
      <c r="A471" s="65">
        <v>256104</v>
      </c>
      <c r="B471" s="57">
        <v>38776</v>
      </c>
      <c r="C471" s="59">
        <v>512000</v>
      </c>
      <c r="D471" s="58">
        <f>VLOOKUP(C471,Comptes!$A$2:$B$60,2,FALSE)</f>
        <v>0</v>
      </c>
      <c r="E471" s="59">
        <v>706220</v>
      </c>
      <c r="F471" s="58">
        <f>VLOOKUP(E471,Comptes!$A$2:$B$60,2,FALSE)</f>
        <v>0</v>
      </c>
      <c r="G471" s="36"/>
      <c r="H471" s="59" t="s">
        <v>471</v>
      </c>
      <c r="I471" s="61">
        <v>40</v>
      </c>
      <c r="J471" s="35"/>
    </row>
    <row r="472" spans="1:10" ht="10.5">
      <c r="A472" s="47">
        <v>256104</v>
      </c>
      <c r="B472" s="48">
        <v>38776</v>
      </c>
      <c r="C472" s="49">
        <v>512000</v>
      </c>
      <c r="D472" s="58">
        <f>VLOOKUP(C472,Comptes!$A$2:$B$60,2,FALSE)</f>
        <v>0</v>
      </c>
      <c r="E472" s="49">
        <v>511200</v>
      </c>
      <c r="F472" s="58">
        <f>VLOOKUP(E472,Comptes!$A$2:$B$60,2,FALSE)</f>
        <v>0</v>
      </c>
      <c r="G472" s="49"/>
      <c r="H472" s="59" t="s">
        <v>471</v>
      </c>
      <c r="I472" s="61">
        <v>57</v>
      </c>
      <c r="J472" s="35"/>
    </row>
    <row r="473" spans="1:10" ht="10.5">
      <c r="A473" s="173">
        <v>256105</v>
      </c>
      <c r="B473" s="57">
        <v>38776</v>
      </c>
      <c r="C473" s="60">
        <v>641000</v>
      </c>
      <c r="D473" s="58">
        <f>VLOOKUP(C473,Comptes!$A$2:$B$60,2,FALSE)</f>
        <v>0</v>
      </c>
      <c r="E473" s="62">
        <v>512000</v>
      </c>
      <c r="F473" s="58">
        <f>VLOOKUP(E473,Comptes!$A$2:$B$60,2,FALSE)</f>
        <v>0</v>
      </c>
      <c r="G473" s="59" t="s">
        <v>474</v>
      </c>
      <c r="H473" s="59" t="s">
        <v>471</v>
      </c>
      <c r="I473" s="61">
        <v>1334.49</v>
      </c>
      <c r="J473" s="66"/>
    </row>
    <row r="474" spans="1:10" ht="10.5">
      <c r="A474" s="173">
        <v>256105</v>
      </c>
      <c r="B474" s="57">
        <v>38776</v>
      </c>
      <c r="C474" s="60">
        <v>613100</v>
      </c>
      <c r="D474" s="58">
        <f>VLOOKUP(C474,Comptes!$A$2:$B$60,2,FALSE)</f>
        <v>0</v>
      </c>
      <c r="E474" s="62">
        <v>512000</v>
      </c>
      <c r="F474" s="58">
        <f>VLOOKUP(E474,Comptes!$A$2:$B$60,2,FALSE)</f>
        <v>0</v>
      </c>
      <c r="G474" s="59" t="s">
        <v>475</v>
      </c>
      <c r="H474" s="59" t="s">
        <v>471</v>
      </c>
      <c r="I474" s="61">
        <v>610</v>
      </c>
      <c r="J474" s="66"/>
    </row>
    <row r="475" spans="1:10" ht="10.5">
      <c r="A475" s="173">
        <v>256105</v>
      </c>
      <c r="B475" s="57">
        <v>38776</v>
      </c>
      <c r="C475" s="60">
        <v>625000</v>
      </c>
      <c r="D475" s="58">
        <f>VLOOKUP(C475,Comptes!$A$2:$B$60,2,FALSE)</f>
        <v>0</v>
      </c>
      <c r="E475" s="62">
        <v>512000</v>
      </c>
      <c r="F475" s="58">
        <f>VLOOKUP(E475,Comptes!$A$2:$B$60,2,FALSE)</f>
        <v>0</v>
      </c>
      <c r="G475" s="59" t="s">
        <v>475</v>
      </c>
      <c r="H475" s="59" t="s">
        <v>471</v>
      </c>
      <c r="I475" s="61">
        <v>40</v>
      </c>
      <c r="J475" s="66"/>
    </row>
    <row r="476" spans="1:10" ht="10.5">
      <c r="A476" s="173">
        <v>256105</v>
      </c>
      <c r="B476" s="57">
        <v>38776</v>
      </c>
      <c r="C476" s="59">
        <v>622600</v>
      </c>
      <c r="D476" s="58">
        <f>VLOOKUP(C476,Comptes!$A$2:$B$60,2,FALSE)</f>
        <v>0</v>
      </c>
      <c r="E476" s="62">
        <v>512000</v>
      </c>
      <c r="F476" s="58">
        <f>VLOOKUP(E476,Comptes!$A$2:$B$60,2,FALSE)</f>
        <v>0</v>
      </c>
      <c r="G476" s="59" t="s">
        <v>476</v>
      </c>
      <c r="H476" s="59" t="s">
        <v>471</v>
      </c>
      <c r="I476" s="61">
        <v>380</v>
      </c>
      <c r="J476" s="35"/>
    </row>
    <row r="477" spans="1:10" ht="10.5">
      <c r="A477" s="173">
        <v>256105</v>
      </c>
      <c r="B477" s="57">
        <v>38776</v>
      </c>
      <c r="C477" s="59">
        <v>622600</v>
      </c>
      <c r="D477" s="58">
        <f>VLOOKUP(C477,Comptes!$A$2:$B$60,2,FALSE)</f>
        <v>0</v>
      </c>
      <c r="E477" s="62">
        <v>512000</v>
      </c>
      <c r="F477" s="58">
        <f>VLOOKUP(E477,Comptes!$A$2:$B$60,2,FALSE)</f>
        <v>0</v>
      </c>
      <c r="G477" s="59" t="s">
        <v>477</v>
      </c>
      <c r="H477" s="59" t="s">
        <v>471</v>
      </c>
      <c r="I477" s="61">
        <v>380</v>
      </c>
      <c r="J477" s="176"/>
    </row>
    <row r="478" spans="1:10" ht="10.5">
      <c r="A478" s="173">
        <v>256106</v>
      </c>
      <c r="B478" s="57">
        <v>38781</v>
      </c>
      <c r="C478" s="60">
        <v>625000</v>
      </c>
      <c r="D478" s="58">
        <f>VLOOKUP(C478,Comptes!$A$2:$B$60,2,FALSE)</f>
        <v>0</v>
      </c>
      <c r="E478" s="59">
        <v>530000</v>
      </c>
      <c r="F478" s="58">
        <f>VLOOKUP(E478,Comptes!$A$2:$B$60,2,FALSE)</f>
        <v>0</v>
      </c>
      <c r="G478" s="59"/>
      <c r="H478" s="63"/>
      <c r="I478" s="61">
        <v>52.8</v>
      </c>
      <c r="J478" s="35"/>
    </row>
    <row r="479" spans="1:10" ht="10.5">
      <c r="A479" s="173">
        <v>256106</v>
      </c>
      <c r="B479" s="57">
        <v>38781</v>
      </c>
      <c r="C479" s="59">
        <v>606700</v>
      </c>
      <c r="D479" s="58">
        <f>VLOOKUP(C479,Comptes!$A$2:$B$60,2,FALSE)</f>
        <v>0</v>
      </c>
      <c r="E479" s="62">
        <v>530000</v>
      </c>
      <c r="F479" s="58">
        <f>VLOOKUP(E479,Comptes!$A$2:$B$60,2,FALSE)</f>
        <v>0</v>
      </c>
      <c r="G479" s="59"/>
      <c r="H479" s="63"/>
      <c r="I479" s="61">
        <f>21.45+5.6+127.6+14.55</f>
        <v>169.2</v>
      </c>
      <c r="J479" s="64"/>
    </row>
    <row r="480" spans="1:10" ht="10.5">
      <c r="A480" s="173">
        <v>256106</v>
      </c>
      <c r="B480" s="57">
        <v>38781</v>
      </c>
      <c r="C480" s="59">
        <v>606400</v>
      </c>
      <c r="D480" s="58">
        <f>VLOOKUP(C480,Comptes!$A$2:$B$60,2,FALSE)</f>
        <v>0</v>
      </c>
      <c r="E480" s="62">
        <v>530000</v>
      </c>
      <c r="F480" s="58">
        <f>VLOOKUP(E480,Comptes!$A$2:$B$60,2,FALSE)</f>
        <v>0</v>
      </c>
      <c r="G480" s="59"/>
      <c r="H480" s="63"/>
      <c r="I480" s="61">
        <v>42</v>
      </c>
      <c r="J480" s="64"/>
    </row>
    <row r="481" spans="1:10" ht="10.5">
      <c r="A481" s="173">
        <v>256107</v>
      </c>
      <c r="B481" s="57">
        <v>38783</v>
      </c>
      <c r="C481" s="59">
        <v>626000</v>
      </c>
      <c r="D481" s="58">
        <f>VLOOKUP(C481,Comptes!$A$2:$B$60,2,FALSE)</f>
        <v>0</v>
      </c>
      <c r="E481" s="62">
        <v>512000</v>
      </c>
      <c r="F481" s="58">
        <f>VLOOKUP(E481,Comptes!$A$2:$B$60,2,FALSE)</f>
        <v>0</v>
      </c>
      <c r="G481" s="59" t="s">
        <v>478</v>
      </c>
      <c r="H481" s="59" t="s">
        <v>473</v>
      </c>
      <c r="I481" s="61">
        <v>335</v>
      </c>
      <c r="J481" s="64"/>
    </row>
    <row r="482" spans="1:10" ht="10.5">
      <c r="A482" s="173">
        <v>256108</v>
      </c>
      <c r="B482" s="57">
        <v>38783</v>
      </c>
      <c r="C482" s="59">
        <v>615000</v>
      </c>
      <c r="D482" s="58">
        <f>VLOOKUP(C482,Comptes!$A$2:$B$60,2,FALSE)</f>
        <v>0</v>
      </c>
      <c r="E482" s="62">
        <v>512000</v>
      </c>
      <c r="F482" s="58">
        <f>VLOOKUP(E482,Comptes!$A$2:$B$60,2,FALSE)</f>
        <v>0</v>
      </c>
      <c r="G482" s="59" t="s">
        <v>479</v>
      </c>
      <c r="H482" s="59" t="s">
        <v>471</v>
      </c>
      <c r="I482" s="61">
        <v>11.1</v>
      </c>
      <c r="J482" s="35"/>
    </row>
    <row r="483" spans="1:10" ht="10.5">
      <c r="A483" s="173">
        <v>256109</v>
      </c>
      <c r="B483" s="57">
        <v>38783</v>
      </c>
      <c r="C483" s="59">
        <v>512000</v>
      </c>
      <c r="D483" s="58">
        <f>VLOOKUP(C483,Comptes!$A$2:$B$60,2,FALSE)</f>
        <v>0</v>
      </c>
      <c r="E483" s="59">
        <v>706210</v>
      </c>
      <c r="F483" s="58">
        <f>VLOOKUP(E483,Comptes!$A$2:$B$60,2,FALSE)</f>
        <v>0</v>
      </c>
      <c r="G483" s="59" t="s">
        <v>170</v>
      </c>
      <c r="H483" s="59" t="s">
        <v>471</v>
      </c>
      <c r="I483" s="61">
        <v>332</v>
      </c>
      <c r="J483" s="64"/>
    </row>
    <row r="484" spans="1:10" ht="10.5">
      <c r="A484" s="173">
        <v>256109</v>
      </c>
      <c r="B484" s="57">
        <v>38783</v>
      </c>
      <c r="C484" s="59">
        <v>512000</v>
      </c>
      <c r="D484" s="58">
        <f>VLOOKUP(C484,Comptes!$A$2:$B$60,2,FALSE)</f>
        <v>0</v>
      </c>
      <c r="E484" s="59">
        <v>706220</v>
      </c>
      <c r="F484" s="58">
        <f>VLOOKUP(E484,Comptes!$A$2:$B$60,2,FALSE)</f>
        <v>0</v>
      </c>
      <c r="G484" s="59" t="s">
        <v>170</v>
      </c>
      <c r="H484" s="59" t="s">
        <v>471</v>
      </c>
      <c r="I484" s="61">
        <v>216</v>
      </c>
      <c r="J484" s="64"/>
    </row>
    <row r="485" spans="1:10" ht="10.5">
      <c r="A485" s="173">
        <v>256109</v>
      </c>
      <c r="B485" s="57">
        <v>38783</v>
      </c>
      <c r="C485" s="59">
        <v>512000</v>
      </c>
      <c r="D485" s="58">
        <f>VLOOKUP(C485,Comptes!$A$2:$B$60,2,FALSE)</f>
        <v>0</v>
      </c>
      <c r="E485" s="59">
        <v>706230</v>
      </c>
      <c r="F485" s="58">
        <f>VLOOKUP(E485,Comptes!$A$2:$B$60,2,FALSE)</f>
        <v>0</v>
      </c>
      <c r="G485" s="59" t="s">
        <v>170</v>
      </c>
      <c r="H485" s="59" t="s">
        <v>471</v>
      </c>
      <c r="I485" s="61">
        <v>834</v>
      </c>
      <c r="J485" s="64"/>
    </row>
    <row r="486" spans="1:10" ht="10.5">
      <c r="A486" s="173">
        <v>256109</v>
      </c>
      <c r="B486" s="57">
        <v>38783</v>
      </c>
      <c r="C486" s="59">
        <v>512000</v>
      </c>
      <c r="D486" s="58">
        <f>VLOOKUP(C486,Comptes!$A$2:$B$60,2,FALSE)</f>
        <v>0</v>
      </c>
      <c r="E486" s="59">
        <v>756000</v>
      </c>
      <c r="F486" s="58">
        <f>VLOOKUP(E486,Comptes!$A$2:$B$60,2,FALSE)</f>
        <v>0</v>
      </c>
      <c r="G486" s="59" t="s">
        <v>170</v>
      </c>
      <c r="H486" s="59" t="s">
        <v>471</v>
      </c>
      <c r="I486" s="61">
        <v>41</v>
      </c>
      <c r="J486" s="64"/>
    </row>
    <row r="487" spans="1:10" ht="10.5">
      <c r="A487" s="173">
        <v>256109</v>
      </c>
      <c r="B487" s="57">
        <v>38783</v>
      </c>
      <c r="C487" s="59">
        <v>512000</v>
      </c>
      <c r="D487" s="58">
        <f>VLOOKUP(C487,Comptes!$A$2:$B$60,2,FALSE)</f>
        <v>0</v>
      </c>
      <c r="E487" s="59">
        <v>708000</v>
      </c>
      <c r="F487" s="58">
        <f>VLOOKUP(E487,Comptes!$A$2:$B$60,2,FALSE)</f>
        <v>0</v>
      </c>
      <c r="G487" s="59" t="s">
        <v>170</v>
      </c>
      <c r="H487" s="59" t="s">
        <v>471</v>
      </c>
      <c r="I487" s="61">
        <v>8</v>
      </c>
      <c r="J487" s="64"/>
    </row>
    <row r="488" spans="1:10" ht="10.5">
      <c r="A488" s="173">
        <v>256109</v>
      </c>
      <c r="B488" s="57">
        <v>38783</v>
      </c>
      <c r="C488" s="59">
        <v>512000</v>
      </c>
      <c r="D488" s="58">
        <f>VLOOKUP(C488,Comptes!$A$2:$B$60,2,FALSE)</f>
        <v>0</v>
      </c>
      <c r="E488" s="59">
        <v>706420</v>
      </c>
      <c r="F488" s="58">
        <f>VLOOKUP(E488,Comptes!$A$2:$B$60,2,FALSE)</f>
        <v>0</v>
      </c>
      <c r="G488" s="59" t="s">
        <v>170</v>
      </c>
      <c r="H488" s="59" t="s">
        <v>471</v>
      </c>
      <c r="I488" s="61">
        <v>38</v>
      </c>
      <c r="J488" s="64"/>
    </row>
    <row r="489" spans="1:10" ht="10.5">
      <c r="A489" s="173">
        <v>256109</v>
      </c>
      <c r="B489" s="57">
        <v>38783</v>
      </c>
      <c r="C489" s="59">
        <v>512000</v>
      </c>
      <c r="D489" s="58">
        <f>VLOOKUP(C489,Comptes!$A$2:$B$60,2,FALSE)</f>
        <v>0</v>
      </c>
      <c r="E489" s="59">
        <v>754000</v>
      </c>
      <c r="F489" s="58">
        <f>VLOOKUP(E489,Comptes!$A$2:$B$60,2,FALSE)</f>
        <v>0</v>
      </c>
      <c r="G489" s="59" t="s">
        <v>170</v>
      </c>
      <c r="H489" s="59" t="s">
        <v>471</v>
      </c>
      <c r="I489" s="61">
        <v>300</v>
      </c>
      <c r="J489" s="35"/>
    </row>
    <row r="490" spans="1:10" ht="10.5">
      <c r="A490" s="173">
        <v>256109</v>
      </c>
      <c r="B490" s="57">
        <v>38783</v>
      </c>
      <c r="C490" s="59">
        <v>512000</v>
      </c>
      <c r="D490" s="58">
        <f>VLOOKUP(C490,Comptes!$A$2:$B$60,2,FALSE)</f>
        <v>0</v>
      </c>
      <c r="E490" s="59">
        <v>754000</v>
      </c>
      <c r="F490" s="58">
        <f>VLOOKUP(E490,Comptes!$A$2:$B$60,2,FALSE)</f>
        <v>0</v>
      </c>
      <c r="G490" s="59" t="s">
        <v>170</v>
      </c>
      <c r="H490" s="59" t="s">
        <v>471</v>
      </c>
      <c r="I490" s="61">
        <v>160</v>
      </c>
      <c r="J490" s="35"/>
    </row>
    <row r="491" spans="1:10" ht="10.5">
      <c r="A491" s="173">
        <v>256109</v>
      </c>
      <c r="B491" s="57">
        <v>38783</v>
      </c>
      <c r="C491" s="59">
        <v>530000</v>
      </c>
      <c r="D491" s="58">
        <f>VLOOKUP(C491,Comptes!$A$2:$B$60,2,FALSE)</f>
        <v>0</v>
      </c>
      <c r="E491" s="59">
        <v>706210</v>
      </c>
      <c r="F491" s="58">
        <f>VLOOKUP(E491,Comptes!$A$2:$B$60,2,FALSE)</f>
        <v>0</v>
      </c>
      <c r="G491" s="59"/>
      <c r="H491" s="63"/>
      <c r="I491" s="61">
        <v>74</v>
      </c>
      <c r="J491" s="64"/>
    </row>
    <row r="492" spans="1:10" ht="10.5">
      <c r="A492" s="173">
        <v>256109</v>
      </c>
      <c r="B492" s="57">
        <v>38783</v>
      </c>
      <c r="C492" s="59">
        <v>530000</v>
      </c>
      <c r="D492" s="58">
        <f>VLOOKUP(C492,Comptes!$A$2:$B$60,2,FALSE)</f>
        <v>0</v>
      </c>
      <c r="E492" s="59">
        <v>706220</v>
      </c>
      <c r="F492" s="58">
        <f>VLOOKUP(E492,Comptes!$A$2:$B$60,2,FALSE)</f>
        <v>0</v>
      </c>
      <c r="G492" s="59"/>
      <c r="H492" s="63"/>
      <c r="I492" s="61">
        <v>48</v>
      </c>
      <c r="J492" s="64"/>
    </row>
    <row r="493" spans="1:10" ht="10.5">
      <c r="A493" s="173">
        <v>256109</v>
      </c>
      <c r="B493" s="57">
        <v>38783</v>
      </c>
      <c r="C493" s="59">
        <v>530000</v>
      </c>
      <c r="D493" s="58">
        <f>VLOOKUP(C493,Comptes!$A$2:$B$60,2,FALSE)</f>
        <v>0</v>
      </c>
      <c r="E493" s="59">
        <v>706230</v>
      </c>
      <c r="F493" s="58">
        <f>VLOOKUP(E493,Comptes!$A$2:$B$60,2,FALSE)</f>
        <v>0</v>
      </c>
      <c r="G493" s="59"/>
      <c r="H493" s="63"/>
      <c r="I493" s="61">
        <v>264</v>
      </c>
      <c r="J493" s="64"/>
    </row>
    <row r="494" spans="1:10" ht="10.5">
      <c r="A494" s="173">
        <v>256109</v>
      </c>
      <c r="B494" s="57">
        <v>38783</v>
      </c>
      <c r="C494" s="59">
        <v>530000</v>
      </c>
      <c r="D494" s="58">
        <f>VLOOKUP(C494,Comptes!$A$2:$B$60,2,FALSE)</f>
        <v>0</v>
      </c>
      <c r="E494" s="59">
        <v>756000</v>
      </c>
      <c r="F494" s="58">
        <f>VLOOKUP(E494,Comptes!$A$2:$B$60,2,FALSE)</f>
        <v>0</v>
      </c>
      <c r="G494" s="59"/>
      <c r="H494" s="63"/>
      <c r="I494" s="61">
        <v>32</v>
      </c>
      <c r="J494" s="64"/>
    </row>
    <row r="495" spans="1:10" ht="10.5">
      <c r="A495" s="173">
        <v>256109</v>
      </c>
      <c r="B495" s="57">
        <v>38783</v>
      </c>
      <c r="C495" s="59">
        <v>530000</v>
      </c>
      <c r="D495" s="58">
        <f>VLOOKUP(C495,Comptes!$A$2:$B$60,2,FALSE)</f>
        <v>0</v>
      </c>
      <c r="E495" s="59">
        <v>708000</v>
      </c>
      <c r="F495" s="58">
        <f>VLOOKUP(E495,Comptes!$A$2:$B$60,2,FALSE)</f>
        <v>0</v>
      </c>
      <c r="G495" s="59"/>
      <c r="H495" s="63"/>
      <c r="I495" s="61">
        <v>8</v>
      </c>
      <c r="J495" s="64"/>
    </row>
    <row r="496" spans="1:10" ht="10.5">
      <c r="A496" s="173">
        <v>256109</v>
      </c>
      <c r="B496" s="57">
        <v>38783</v>
      </c>
      <c r="C496" s="59">
        <v>530000</v>
      </c>
      <c r="D496" s="58">
        <f>VLOOKUP(C496,Comptes!$A$2:$B$60,2,FALSE)</f>
        <v>0</v>
      </c>
      <c r="E496" s="62">
        <v>706230</v>
      </c>
      <c r="F496" s="58">
        <f>VLOOKUP(E496,Comptes!$A$2:$B$60,2,FALSE)</f>
        <v>0</v>
      </c>
      <c r="G496" s="59"/>
      <c r="H496" s="63"/>
      <c r="I496" s="61">
        <v>50</v>
      </c>
      <c r="J496" s="64"/>
    </row>
    <row r="497" spans="1:10" ht="10.5">
      <c r="A497" s="173">
        <v>256110</v>
      </c>
      <c r="B497" s="57">
        <v>38790</v>
      </c>
      <c r="C497" s="59">
        <v>626500</v>
      </c>
      <c r="D497" s="58">
        <f>VLOOKUP(C497,Comptes!$A$2:$B$60,2,FALSE)</f>
        <v>0</v>
      </c>
      <c r="E497" s="62">
        <v>512000</v>
      </c>
      <c r="F497" s="58">
        <f>VLOOKUP(E497,Comptes!$A$2:$B$60,2,FALSE)</f>
        <v>0</v>
      </c>
      <c r="G497" s="59" t="s">
        <v>178</v>
      </c>
      <c r="H497" s="59" t="s">
        <v>471</v>
      </c>
      <c r="I497" s="61">
        <v>178.95</v>
      </c>
      <c r="J497" s="64"/>
    </row>
    <row r="498" spans="1:10" ht="10.5">
      <c r="A498" s="173">
        <v>256111</v>
      </c>
      <c r="B498" s="57">
        <v>38783</v>
      </c>
      <c r="C498" s="60">
        <v>512000</v>
      </c>
      <c r="D498" s="58">
        <f>VLOOKUP(C498,Comptes!$A$2:$B$60,2,FALSE)</f>
        <v>0</v>
      </c>
      <c r="E498" s="59">
        <v>706320</v>
      </c>
      <c r="F498" s="58">
        <f>VLOOKUP(E498,Comptes!$A$2:$B$60,2,FALSE)</f>
        <v>0</v>
      </c>
      <c r="G498" s="59" t="s">
        <v>171</v>
      </c>
      <c r="H498" s="59" t="s">
        <v>471</v>
      </c>
      <c r="I498" s="68">
        <v>285</v>
      </c>
      <c r="J498" s="64"/>
    </row>
    <row r="499" spans="1:10" ht="10.5">
      <c r="A499" s="173">
        <v>256112</v>
      </c>
      <c r="B499" s="57">
        <v>38785</v>
      </c>
      <c r="C499" s="60">
        <v>606700</v>
      </c>
      <c r="D499" s="58">
        <f>VLOOKUP(C499,Comptes!$A$2:$B$60,2,FALSE)</f>
        <v>0</v>
      </c>
      <c r="E499" s="59">
        <v>530000</v>
      </c>
      <c r="F499" s="58">
        <f>VLOOKUP(E499,Comptes!$A$2:$B$60,2,FALSE)</f>
        <v>0</v>
      </c>
      <c r="G499" s="59"/>
      <c r="H499" s="63"/>
      <c r="I499" s="68">
        <v>22</v>
      </c>
      <c r="J499" s="64"/>
    </row>
    <row r="500" spans="1:10" ht="10.5">
      <c r="A500" s="173">
        <v>256112</v>
      </c>
      <c r="B500" s="57">
        <v>38785</v>
      </c>
      <c r="C500" s="60">
        <v>606700</v>
      </c>
      <c r="D500" s="58">
        <f>VLOOKUP(C500,Comptes!$A$2:$B$60,2,FALSE)</f>
        <v>0</v>
      </c>
      <c r="E500" s="59">
        <v>530000</v>
      </c>
      <c r="F500" s="58">
        <f>VLOOKUP(E500,Comptes!$A$2:$B$60,2,FALSE)</f>
        <v>0</v>
      </c>
      <c r="G500" s="59"/>
      <c r="H500" s="63"/>
      <c r="I500" s="68">
        <v>106.09</v>
      </c>
      <c r="J500" s="64"/>
    </row>
    <row r="501" spans="1:10" ht="10.5">
      <c r="A501" s="173">
        <v>256112</v>
      </c>
      <c r="B501" s="57">
        <v>38785</v>
      </c>
      <c r="C501" s="60">
        <v>606700</v>
      </c>
      <c r="D501" s="58">
        <f>VLOOKUP(C501,Comptes!$A$2:$B$60,2,FALSE)</f>
        <v>0</v>
      </c>
      <c r="E501" s="59">
        <v>530000</v>
      </c>
      <c r="F501" s="58">
        <f>VLOOKUP(E501,Comptes!$A$2:$B$60,2,FALSE)</f>
        <v>0</v>
      </c>
      <c r="G501" s="59"/>
      <c r="H501" s="63"/>
      <c r="I501" s="68">
        <v>38.52</v>
      </c>
      <c r="J501" s="64"/>
    </row>
    <row r="502" spans="1:10" ht="10.5">
      <c r="A502" s="65">
        <v>245163</v>
      </c>
      <c r="B502" s="57">
        <v>38789</v>
      </c>
      <c r="C502" s="60">
        <v>606110</v>
      </c>
      <c r="D502" s="58">
        <f>VLOOKUP(C502,Comptes!$A$2:$B$60,2,FALSE)</f>
        <v>0</v>
      </c>
      <c r="E502" s="59">
        <v>512000</v>
      </c>
      <c r="F502" s="58">
        <f>VLOOKUP(E502,Comptes!$A$2:$B$60,2,FALSE)</f>
        <v>0</v>
      </c>
      <c r="G502" s="59" t="s">
        <v>178</v>
      </c>
      <c r="H502" s="59" t="s">
        <v>471</v>
      </c>
      <c r="I502" s="61">
        <v>149</v>
      </c>
      <c r="J502" s="64"/>
    </row>
    <row r="503" spans="1:10" ht="10.5">
      <c r="A503" s="173">
        <v>256113</v>
      </c>
      <c r="B503" s="57">
        <v>38790</v>
      </c>
      <c r="C503" s="60">
        <v>626500</v>
      </c>
      <c r="D503" s="58">
        <f>VLOOKUP(C503,Comptes!$A$2:$B$60,2,FALSE)</f>
        <v>0</v>
      </c>
      <c r="E503" s="59">
        <v>512000</v>
      </c>
      <c r="F503" s="58">
        <f>VLOOKUP(E503,Comptes!$A$2:$B$60,2,FALSE)</f>
        <v>0</v>
      </c>
      <c r="G503" s="36" t="s">
        <v>178</v>
      </c>
      <c r="H503" s="59" t="s">
        <v>471</v>
      </c>
      <c r="I503" s="61">
        <v>19.9</v>
      </c>
      <c r="J503" s="35"/>
    </row>
    <row r="504" spans="1:10" ht="10.5">
      <c r="A504" s="173">
        <v>256114</v>
      </c>
      <c r="B504" s="57">
        <v>38791</v>
      </c>
      <c r="C504" s="60">
        <v>512000</v>
      </c>
      <c r="D504" s="58">
        <f>VLOOKUP(C504,Comptes!$A$2:$B$60,2,FALSE)</f>
        <v>0</v>
      </c>
      <c r="E504" s="60">
        <v>706210</v>
      </c>
      <c r="F504" s="58">
        <f>VLOOKUP(E504,Comptes!$A$2:$B$60,2,FALSE)</f>
        <v>0</v>
      </c>
      <c r="G504" s="59"/>
      <c r="H504" s="59" t="s">
        <v>473</v>
      </c>
      <c r="I504" s="68">
        <v>295</v>
      </c>
      <c r="J504" s="64"/>
    </row>
    <row r="505" spans="1:10" ht="10.5">
      <c r="A505" s="173">
        <v>256114</v>
      </c>
      <c r="B505" s="57">
        <v>38791</v>
      </c>
      <c r="C505" s="60">
        <v>512000</v>
      </c>
      <c r="D505" s="58">
        <f>VLOOKUP(C505,Comptes!$A$2:$B$60,2,FALSE)</f>
        <v>0</v>
      </c>
      <c r="E505" s="60">
        <v>706220</v>
      </c>
      <c r="F505" s="58">
        <f>VLOOKUP(E505,Comptes!$A$2:$B$60,2,FALSE)</f>
        <v>0</v>
      </c>
      <c r="G505" s="59"/>
      <c r="H505" s="59" t="s">
        <v>473</v>
      </c>
      <c r="I505" s="68">
        <v>247</v>
      </c>
      <c r="J505" s="64"/>
    </row>
    <row r="506" spans="1:10" ht="10.5">
      <c r="A506" s="173">
        <v>256114</v>
      </c>
      <c r="B506" s="57">
        <v>38791</v>
      </c>
      <c r="C506" s="60">
        <v>512000</v>
      </c>
      <c r="D506" s="58">
        <f>VLOOKUP(C506,Comptes!$A$2:$B$60,2,FALSE)</f>
        <v>0</v>
      </c>
      <c r="E506" s="60">
        <v>706230</v>
      </c>
      <c r="F506" s="58">
        <f>VLOOKUP(E506,Comptes!$A$2:$B$60,2,FALSE)</f>
        <v>0</v>
      </c>
      <c r="G506" s="59"/>
      <c r="H506" s="59" t="s">
        <v>473</v>
      </c>
      <c r="I506" s="68">
        <v>411</v>
      </c>
      <c r="J506" s="64"/>
    </row>
    <row r="507" spans="1:10" ht="10.5">
      <c r="A507" s="173">
        <v>256114</v>
      </c>
      <c r="B507" s="57">
        <v>38791</v>
      </c>
      <c r="C507" s="60">
        <v>512000</v>
      </c>
      <c r="D507" s="58">
        <f>VLOOKUP(C507,Comptes!$A$2:$B$60,2,FALSE)</f>
        <v>0</v>
      </c>
      <c r="E507" s="60">
        <v>756000</v>
      </c>
      <c r="F507" s="58">
        <f>VLOOKUP(E507,Comptes!$A$2:$B$60,2,FALSE)</f>
        <v>0</v>
      </c>
      <c r="G507" s="59"/>
      <c r="H507" s="59" t="s">
        <v>473</v>
      </c>
      <c r="I507" s="68">
        <v>41</v>
      </c>
      <c r="J507" s="174"/>
    </row>
    <row r="508" spans="1:10" ht="10.5">
      <c r="A508" s="173">
        <v>256114</v>
      </c>
      <c r="B508" s="57">
        <v>38791</v>
      </c>
      <c r="C508" s="60">
        <v>512000</v>
      </c>
      <c r="D508" s="58">
        <f>VLOOKUP(C508,Comptes!$A$2:$B$60,2,FALSE)</f>
        <v>0</v>
      </c>
      <c r="E508" s="60">
        <v>708000</v>
      </c>
      <c r="F508" s="58">
        <f>VLOOKUP(E508,Comptes!$A$2:$B$60,2,FALSE)</f>
        <v>0</v>
      </c>
      <c r="G508" s="59"/>
      <c r="H508" s="59" t="s">
        <v>473</v>
      </c>
      <c r="I508" s="68">
        <v>8</v>
      </c>
      <c r="J508" s="64"/>
    </row>
    <row r="509" spans="1:10" ht="10.5">
      <c r="A509" s="173">
        <v>256114</v>
      </c>
      <c r="B509" s="57">
        <v>38791</v>
      </c>
      <c r="C509" s="60">
        <v>512000</v>
      </c>
      <c r="D509" s="58">
        <f>VLOOKUP(C509,Comptes!$A$2:$B$60,2,FALSE)</f>
        <v>0</v>
      </c>
      <c r="E509" s="60">
        <v>756000</v>
      </c>
      <c r="F509" s="58">
        <f>VLOOKUP(E509,Comptes!$A$2:$B$60,2,FALSE)</f>
        <v>0</v>
      </c>
      <c r="G509" s="59"/>
      <c r="H509" s="59" t="s">
        <v>473</v>
      </c>
      <c r="I509" s="68">
        <v>99</v>
      </c>
      <c r="J509" s="64"/>
    </row>
    <row r="510" spans="1:10" ht="10.5">
      <c r="A510" s="173">
        <v>256114</v>
      </c>
      <c r="B510" s="57">
        <v>38791</v>
      </c>
      <c r="C510" s="60">
        <v>512000</v>
      </c>
      <c r="D510" s="58">
        <f>VLOOKUP(C510,Comptes!$A$2:$B$60,2,FALSE)</f>
        <v>0</v>
      </c>
      <c r="E510" s="60">
        <v>708000</v>
      </c>
      <c r="F510" s="58">
        <f>VLOOKUP(E510,Comptes!$A$2:$B$60,2,FALSE)</f>
        <v>0</v>
      </c>
      <c r="G510" s="59"/>
      <c r="H510" s="59" t="s">
        <v>473</v>
      </c>
      <c r="I510" s="68">
        <v>16</v>
      </c>
      <c r="J510" s="64"/>
    </row>
    <row r="511" spans="1:10" ht="10.5">
      <c r="A511" s="173">
        <v>256114</v>
      </c>
      <c r="B511" s="57">
        <v>38791</v>
      </c>
      <c r="C511" s="60">
        <v>512000</v>
      </c>
      <c r="D511" s="58">
        <f>VLOOKUP(C511,Comptes!$A$2:$B$60,2,FALSE)</f>
        <v>0</v>
      </c>
      <c r="E511" s="60">
        <v>754000</v>
      </c>
      <c r="F511" s="58">
        <f>VLOOKUP(E511,Comptes!$A$2:$B$60,2,FALSE)</f>
        <v>0</v>
      </c>
      <c r="G511" s="59"/>
      <c r="H511" s="59" t="s">
        <v>473</v>
      </c>
      <c r="I511" s="68">
        <v>200</v>
      </c>
      <c r="J511" s="64"/>
    </row>
    <row r="512" spans="1:10" ht="10.5">
      <c r="A512" s="173">
        <v>256114</v>
      </c>
      <c r="B512" s="57">
        <v>38791</v>
      </c>
      <c r="C512" s="60">
        <v>512000</v>
      </c>
      <c r="D512" s="58">
        <f>VLOOKUP(C512,Comptes!$A$2:$B$60,2,FALSE)</f>
        <v>0</v>
      </c>
      <c r="E512" s="60">
        <v>754000</v>
      </c>
      <c r="F512" s="58">
        <f>VLOOKUP(E512,Comptes!$A$2:$B$60,2,FALSE)</f>
        <v>0</v>
      </c>
      <c r="G512" s="59"/>
      <c r="H512" s="59" t="s">
        <v>473</v>
      </c>
      <c r="I512" s="68">
        <v>300</v>
      </c>
      <c r="J512" s="64"/>
    </row>
    <row r="513" spans="1:10" ht="10.5">
      <c r="A513" s="173">
        <v>256114</v>
      </c>
      <c r="B513" s="57">
        <v>38791</v>
      </c>
      <c r="C513" s="60">
        <v>512000</v>
      </c>
      <c r="D513" s="58">
        <f>VLOOKUP(C513,Comptes!$A$2:$B$60,2,FALSE)</f>
        <v>0</v>
      </c>
      <c r="E513" s="60">
        <v>706220</v>
      </c>
      <c r="F513" s="58">
        <f>VLOOKUP(E513,Comptes!$A$2:$B$60,2,FALSE)</f>
        <v>0</v>
      </c>
      <c r="G513" s="59"/>
      <c r="H513" s="59" t="s">
        <v>473</v>
      </c>
      <c r="I513" s="68">
        <v>230</v>
      </c>
      <c r="J513" s="64"/>
    </row>
    <row r="514" spans="1:10" ht="10.5">
      <c r="A514" s="173">
        <v>256114</v>
      </c>
      <c r="B514" s="57">
        <v>38791</v>
      </c>
      <c r="C514" s="60">
        <v>512000</v>
      </c>
      <c r="D514" s="58">
        <f>VLOOKUP(C514,Comptes!$A$2:$B$60,2,FALSE)</f>
        <v>0</v>
      </c>
      <c r="E514" s="60">
        <v>706230</v>
      </c>
      <c r="F514" s="58">
        <f>VLOOKUP(E514,Comptes!$A$2:$B$60,2,FALSE)</f>
        <v>0</v>
      </c>
      <c r="G514" s="59"/>
      <c r="H514" s="59" t="s">
        <v>473</v>
      </c>
      <c r="I514" s="68">
        <v>400</v>
      </c>
      <c r="J514" s="64"/>
    </row>
    <row r="515" spans="1:10" ht="10.5">
      <c r="A515" s="173">
        <v>256114</v>
      </c>
      <c r="B515" s="57">
        <v>38791</v>
      </c>
      <c r="C515" s="60">
        <v>606700</v>
      </c>
      <c r="D515" s="58">
        <f>VLOOKUP(C515,Comptes!$A$2:$B$60,2,FALSE)</f>
        <v>0</v>
      </c>
      <c r="E515" s="60">
        <v>512000</v>
      </c>
      <c r="F515" s="58">
        <f>VLOOKUP(E515,Comptes!$A$2:$B$60,2,FALSE)</f>
        <v>0</v>
      </c>
      <c r="G515" s="59"/>
      <c r="H515" s="59" t="s">
        <v>473</v>
      </c>
      <c r="I515" s="68">
        <v>10</v>
      </c>
      <c r="J515" s="64"/>
    </row>
    <row r="516" spans="1:10" ht="10.5">
      <c r="A516" s="173">
        <v>256114</v>
      </c>
      <c r="B516" s="57">
        <v>38791</v>
      </c>
      <c r="C516" s="59">
        <v>615000</v>
      </c>
      <c r="D516" s="58">
        <f>VLOOKUP(C516,Comptes!$A$2:$B$60,2,FALSE)</f>
        <v>0</v>
      </c>
      <c r="E516" s="60">
        <v>512000</v>
      </c>
      <c r="F516" s="58">
        <f>VLOOKUP(E516,Comptes!$A$2:$B$60,2,FALSE)</f>
        <v>0</v>
      </c>
      <c r="G516" s="59" t="s">
        <v>480</v>
      </c>
      <c r="H516" s="59" t="s">
        <v>481</v>
      </c>
      <c r="I516" s="61">
        <v>100</v>
      </c>
      <c r="J516" s="35"/>
    </row>
    <row r="517" spans="1:10" ht="10.5">
      <c r="A517" s="173">
        <v>256114</v>
      </c>
      <c r="B517" s="57">
        <v>38791</v>
      </c>
      <c r="C517" s="60">
        <v>530000</v>
      </c>
      <c r="D517" s="58">
        <f>VLOOKUP(C517,Comptes!$A$2:$B$60,2,FALSE)</f>
        <v>0</v>
      </c>
      <c r="E517" s="60">
        <v>706210</v>
      </c>
      <c r="F517" s="58">
        <f>VLOOKUP(E517,Comptes!$A$2:$B$60,2,FALSE)</f>
        <v>0</v>
      </c>
      <c r="G517" s="59"/>
      <c r="H517" s="63"/>
      <c r="I517" s="68">
        <v>30</v>
      </c>
      <c r="J517" s="64"/>
    </row>
    <row r="518" spans="1:10" ht="10.5">
      <c r="A518" s="173">
        <v>256114</v>
      </c>
      <c r="B518" s="57">
        <v>38791</v>
      </c>
      <c r="C518" s="60">
        <v>530000</v>
      </c>
      <c r="D518" s="58">
        <f>VLOOKUP(C518,Comptes!$A$2:$B$60,2,FALSE)</f>
        <v>0</v>
      </c>
      <c r="E518" s="60">
        <v>706220</v>
      </c>
      <c r="F518" s="58">
        <f>VLOOKUP(E518,Comptes!$A$2:$B$60,2,FALSE)</f>
        <v>0</v>
      </c>
      <c r="G518" s="59"/>
      <c r="H518" s="63"/>
      <c r="I518" s="68">
        <v>20</v>
      </c>
      <c r="J518" s="64"/>
    </row>
    <row r="519" spans="1:10" ht="10.5">
      <c r="A519" s="173">
        <v>256114</v>
      </c>
      <c r="B519" s="57">
        <v>38791</v>
      </c>
      <c r="C519" s="60">
        <v>530000</v>
      </c>
      <c r="D519" s="58">
        <f>VLOOKUP(C519,Comptes!$A$2:$B$60,2,FALSE)</f>
        <v>0</v>
      </c>
      <c r="E519" s="60">
        <v>706230</v>
      </c>
      <c r="F519" s="58">
        <f>VLOOKUP(E519,Comptes!$A$2:$B$60,2,FALSE)</f>
        <v>0</v>
      </c>
      <c r="G519" s="59"/>
      <c r="H519" s="63"/>
      <c r="I519" s="68">
        <v>40</v>
      </c>
      <c r="J519" s="64"/>
    </row>
    <row r="520" spans="1:10" ht="10.5">
      <c r="A520" s="173">
        <v>256115</v>
      </c>
      <c r="B520" s="57">
        <v>38786</v>
      </c>
      <c r="C520" s="60">
        <v>613200</v>
      </c>
      <c r="D520" s="58">
        <f>VLOOKUP(C520,Comptes!$A$2:$B$60,2,FALSE)</f>
        <v>0</v>
      </c>
      <c r="E520" s="62">
        <v>512000</v>
      </c>
      <c r="F520" s="58">
        <f>VLOOKUP(E520,Comptes!$A$2:$B$60,2,FALSE)</f>
        <v>0</v>
      </c>
      <c r="G520" s="59" t="s">
        <v>178</v>
      </c>
      <c r="H520" s="59" t="s">
        <v>471</v>
      </c>
      <c r="I520" s="61">
        <v>963.5</v>
      </c>
      <c r="J520" s="64"/>
    </row>
    <row r="521" spans="1:10" ht="10.5">
      <c r="A521" s="173">
        <v>256116</v>
      </c>
      <c r="B521" s="57">
        <v>38779</v>
      </c>
      <c r="C521" s="60">
        <v>512000</v>
      </c>
      <c r="D521" s="58">
        <f>VLOOKUP(C521,Comptes!$A$2:$B$60,2,FALSE)</f>
        <v>0</v>
      </c>
      <c r="E521" s="59">
        <v>754000</v>
      </c>
      <c r="F521" s="58">
        <f>VLOOKUP(E521,Comptes!$A$2:$B$60,2,FALSE)</f>
        <v>0</v>
      </c>
      <c r="G521" s="59" t="s">
        <v>171</v>
      </c>
      <c r="H521" s="59" t="s">
        <v>471</v>
      </c>
      <c r="I521" s="61">
        <v>150</v>
      </c>
      <c r="J521" s="64"/>
    </row>
    <row r="522" spans="1:10" ht="10.5">
      <c r="A522" s="173">
        <v>256116</v>
      </c>
      <c r="B522" s="57">
        <v>38779</v>
      </c>
      <c r="C522" s="60">
        <v>512000</v>
      </c>
      <c r="D522" s="58">
        <f>VLOOKUP(C522,Comptes!$A$2:$B$60,2,FALSE)</f>
        <v>0</v>
      </c>
      <c r="E522" s="59">
        <v>754000</v>
      </c>
      <c r="F522" s="58">
        <f>VLOOKUP(E522,Comptes!$A$2:$B$60,2,FALSE)</f>
        <v>0</v>
      </c>
      <c r="G522" s="59" t="s">
        <v>171</v>
      </c>
      <c r="H522" s="59" t="s">
        <v>471</v>
      </c>
      <c r="I522" s="61">
        <v>15</v>
      </c>
      <c r="J522" s="35"/>
    </row>
    <row r="523" spans="1:10" ht="10.5">
      <c r="A523" s="173">
        <v>256116</v>
      </c>
      <c r="B523" s="57">
        <v>38786</v>
      </c>
      <c r="C523" s="60">
        <v>512000</v>
      </c>
      <c r="D523" s="58">
        <f>VLOOKUP(C523,Comptes!$A$2:$B$60,2,FALSE)</f>
        <v>0</v>
      </c>
      <c r="E523" s="59">
        <v>754000</v>
      </c>
      <c r="F523" s="58">
        <f>VLOOKUP(E523,Comptes!$A$2:$B$60,2,FALSE)</f>
        <v>0</v>
      </c>
      <c r="G523" s="59" t="s">
        <v>171</v>
      </c>
      <c r="H523" s="59" t="s">
        <v>471</v>
      </c>
      <c r="I523" s="61">
        <v>15</v>
      </c>
      <c r="J523" s="64"/>
    </row>
    <row r="524" spans="1:10" ht="10.5">
      <c r="A524" s="173">
        <v>256116</v>
      </c>
      <c r="B524" s="57">
        <v>38791</v>
      </c>
      <c r="C524" s="59">
        <v>512000</v>
      </c>
      <c r="D524" s="58">
        <f>VLOOKUP(C524,Comptes!$A$2:$B$60,2,FALSE)</f>
        <v>0</v>
      </c>
      <c r="E524" s="60">
        <v>754000</v>
      </c>
      <c r="F524" s="58">
        <f>VLOOKUP(E524,Comptes!$A$2:$B$60,2,FALSE)</f>
        <v>0</v>
      </c>
      <c r="G524" s="59" t="s">
        <v>171</v>
      </c>
      <c r="H524" s="59" t="s">
        <v>471</v>
      </c>
      <c r="I524" s="68">
        <v>12.5</v>
      </c>
      <c r="J524" s="64"/>
    </row>
    <row r="525" spans="1:10" ht="10.5">
      <c r="A525" s="173">
        <v>256116</v>
      </c>
      <c r="B525" s="57">
        <v>38791</v>
      </c>
      <c r="C525" s="59">
        <v>512000</v>
      </c>
      <c r="D525" s="58">
        <f>VLOOKUP(C525,Comptes!$A$2:$B$60,2,FALSE)</f>
        <v>0</v>
      </c>
      <c r="E525" s="60">
        <v>754000</v>
      </c>
      <c r="F525" s="58">
        <f>VLOOKUP(E525,Comptes!$A$2:$B$60,2,FALSE)</f>
        <v>0</v>
      </c>
      <c r="G525" s="59" t="s">
        <v>171</v>
      </c>
      <c r="H525" s="59" t="s">
        <v>471</v>
      </c>
      <c r="I525" s="68">
        <v>30</v>
      </c>
      <c r="J525" s="64"/>
    </row>
    <row r="526" spans="1:10" ht="10.5">
      <c r="A526" s="173">
        <v>256117</v>
      </c>
      <c r="B526" s="57">
        <v>38777</v>
      </c>
      <c r="C526" s="59">
        <v>512000</v>
      </c>
      <c r="D526" s="58">
        <f>VLOOKUP(C526,Comptes!$A$2:$B$60,2,FALSE)</f>
        <v>0</v>
      </c>
      <c r="E526" s="60">
        <v>706320</v>
      </c>
      <c r="F526" s="58">
        <f>VLOOKUP(E526,Comptes!$A$2:$B$60,2,FALSE)</f>
        <v>0</v>
      </c>
      <c r="G526" s="36" t="s">
        <v>171</v>
      </c>
      <c r="H526" s="59" t="s">
        <v>471</v>
      </c>
      <c r="I526" s="61">
        <v>288</v>
      </c>
      <c r="J526" s="35"/>
    </row>
    <row r="527" spans="1:10" ht="10.5">
      <c r="A527" s="173">
        <v>256118</v>
      </c>
      <c r="B527" s="57">
        <v>38793</v>
      </c>
      <c r="C527" s="59">
        <v>606700</v>
      </c>
      <c r="D527" s="58">
        <f>VLOOKUP(C527,Comptes!$A$2:$B$60,2,FALSE)</f>
        <v>0</v>
      </c>
      <c r="E527" s="60">
        <v>530000</v>
      </c>
      <c r="F527" s="58">
        <f>VLOOKUP(E527,Comptes!$A$2:$B$60,2,FALSE)</f>
        <v>0</v>
      </c>
      <c r="G527" s="36"/>
      <c r="H527" s="63"/>
      <c r="I527" s="61">
        <v>117.59</v>
      </c>
      <c r="J527" s="35"/>
    </row>
    <row r="528" spans="1:10" ht="10.5">
      <c r="A528" s="173">
        <v>256118</v>
      </c>
      <c r="B528" s="57">
        <v>38793</v>
      </c>
      <c r="C528" s="59">
        <v>606700</v>
      </c>
      <c r="D528" s="58">
        <f>VLOOKUP(C528,Comptes!$A$2:$B$60,2,FALSE)</f>
        <v>0</v>
      </c>
      <c r="E528" s="60">
        <v>530000</v>
      </c>
      <c r="F528" s="58">
        <f>VLOOKUP(E528,Comptes!$A$2:$B$60,2,FALSE)</f>
        <v>0</v>
      </c>
      <c r="G528" s="36"/>
      <c r="H528" s="63"/>
      <c r="I528" s="61">
        <f>7+159.9+12.2</f>
        <v>179.1</v>
      </c>
      <c r="J528" s="35"/>
    </row>
    <row r="529" spans="1:10" ht="10.5">
      <c r="A529" s="173">
        <v>256118</v>
      </c>
      <c r="B529" s="57">
        <v>38793</v>
      </c>
      <c r="C529" s="59">
        <v>606400</v>
      </c>
      <c r="D529" s="58">
        <f>VLOOKUP(C529,Comptes!$A$2:$B$60,2,FALSE)</f>
        <v>0</v>
      </c>
      <c r="E529" s="60">
        <v>530000</v>
      </c>
      <c r="F529" s="58">
        <f>VLOOKUP(E529,Comptes!$A$2:$B$60,2,FALSE)</f>
        <v>0</v>
      </c>
      <c r="G529" s="36"/>
      <c r="H529" s="63"/>
      <c r="I529" s="61">
        <v>15</v>
      </c>
      <c r="J529" s="35"/>
    </row>
    <row r="530" spans="1:10" ht="10.5">
      <c r="A530" s="173">
        <v>256118</v>
      </c>
      <c r="B530" s="57">
        <v>38793</v>
      </c>
      <c r="C530" s="59">
        <v>606300</v>
      </c>
      <c r="D530" s="58">
        <f>VLOOKUP(C530,Comptes!$A$2:$B$60,2,FALSE)</f>
        <v>0</v>
      </c>
      <c r="E530" s="60">
        <v>530000</v>
      </c>
      <c r="F530" s="58">
        <f>VLOOKUP(E530,Comptes!$A$2:$B$60,2,FALSE)</f>
        <v>0</v>
      </c>
      <c r="G530" s="36"/>
      <c r="H530" s="63"/>
      <c r="I530" s="61">
        <v>179.4</v>
      </c>
      <c r="J530" s="35"/>
    </row>
    <row r="531" spans="1:10" ht="10.5">
      <c r="A531" s="173">
        <v>256119</v>
      </c>
      <c r="B531" s="57">
        <v>38798</v>
      </c>
      <c r="C531" s="59">
        <v>512000</v>
      </c>
      <c r="D531" s="58">
        <f>VLOOKUP(C531,Comptes!$A$2:$B$60,2,FALSE)</f>
        <v>0</v>
      </c>
      <c r="E531" s="59">
        <v>706210</v>
      </c>
      <c r="F531" s="58">
        <f>VLOOKUP(E531,Comptes!$A$2:$B$60,2,FALSE)</f>
        <v>0</v>
      </c>
      <c r="G531" s="36"/>
      <c r="H531" s="59" t="s">
        <v>473</v>
      </c>
      <c r="I531" s="61">
        <v>208</v>
      </c>
      <c r="J531" s="176"/>
    </row>
    <row r="532" spans="1:10" ht="10.5">
      <c r="A532" s="173">
        <v>256119</v>
      </c>
      <c r="B532" s="57">
        <v>38798</v>
      </c>
      <c r="C532" s="59">
        <v>512000</v>
      </c>
      <c r="D532" s="58">
        <f>VLOOKUP(C532,Comptes!$A$2:$B$60,2,FALSE)</f>
        <v>0</v>
      </c>
      <c r="E532" s="59">
        <v>706220</v>
      </c>
      <c r="F532" s="58">
        <f>VLOOKUP(E532,Comptes!$A$2:$B$60,2,FALSE)</f>
        <v>0</v>
      </c>
      <c r="G532" s="36"/>
      <c r="H532" s="59" t="s">
        <v>473</v>
      </c>
      <c r="I532" s="61">
        <v>144</v>
      </c>
      <c r="J532" s="35"/>
    </row>
    <row r="533" spans="1:10" ht="10.5">
      <c r="A533" s="173">
        <v>256119</v>
      </c>
      <c r="B533" s="57">
        <v>38798</v>
      </c>
      <c r="C533" s="59">
        <v>512000</v>
      </c>
      <c r="D533" s="58">
        <f>VLOOKUP(C533,Comptes!$A$2:$B$60,2,FALSE)</f>
        <v>0</v>
      </c>
      <c r="E533" s="59">
        <v>706230</v>
      </c>
      <c r="F533" s="58">
        <f>VLOOKUP(E533,Comptes!$A$2:$B$60,2,FALSE)</f>
        <v>0</v>
      </c>
      <c r="G533" s="36"/>
      <c r="H533" s="59" t="s">
        <v>473</v>
      </c>
      <c r="I533" s="61">
        <v>482</v>
      </c>
      <c r="J533" s="35"/>
    </row>
    <row r="534" spans="1:10" ht="10.5">
      <c r="A534" s="173">
        <v>256119</v>
      </c>
      <c r="B534" s="57">
        <v>38798</v>
      </c>
      <c r="C534" s="59">
        <v>512000</v>
      </c>
      <c r="D534" s="58">
        <f>VLOOKUP(C534,Comptes!$A$2:$B$60,2,FALSE)</f>
        <v>0</v>
      </c>
      <c r="E534" s="59">
        <v>756000</v>
      </c>
      <c r="F534" s="58">
        <f>VLOOKUP(E534,Comptes!$A$2:$B$60,2,FALSE)</f>
        <v>0</v>
      </c>
      <c r="G534" s="36"/>
      <c r="H534" s="59" t="s">
        <v>473</v>
      </c>
      <c r="I534" s="61">
        <v>27</v>
      </c>
      <c r="J534" s="35"/>
    </row>
    <row r="535" spans="1:10" ht="10.5">
      <c r="A535" s="173">
        <v>256119</v>
      </c>
      <c r="B535" s="57">
        <v>38798</v>
      </c>
      <c r="C535" s="59">
        <v>512000</v>
      </c>
      <c r="D535" s="58">
        <f>VLOOKUP(C535,Comptes!$A$2:$B$60,2,FALSE)</f>
        <v>0</v>
      </c>
      <c r="E535" s="59">
        <v>754000</v>
      </c>
      <c r="F535" s="58">
        <f>VLOOKUP(E535,Comptes!$A$2:$B$60,2,FALSE)</f>
        <v>0</v>
      </c>
      <c r="G535" s="36"/>
      <c r="H535" s="59" t="s">
        <v>473</v>
      </c>
      <c r="I535" s="61">
        <v>150</v>
      </c>
      <c r="J535" s="35"/>
    </row>
    <row r="536" spans="1:10" ht="10.5">
      <c r="A536" s="173">
        <v>256119</v>
      </c>
      <c r="B536" s="57">
        <v>38798</v>
      </c>
      <c r="C536" s="59">
        <v>512000</v>
      </c>
      <c r="D536" s="58">
        <f>VLOOKUP(C536,Comptes!$A$2:$B$60,2,FALSE)</f>
        <v>0</v>
      </c>
      <c r="E536" s="59">
        <v>754000</v>
      </c>
      <c r="F536" s="58">
        <f>VLOOKUP(E536,Comptes!$A$2:$B$60,2,FALSE)</f>
        <v>0</v>
      </c>
      <c r="G536" s="36"/>
      <c r="H536" s="59" t="s">
        <v>473</v>
      </c>
      <c r="I536" s="61">
        <v>100</v>
      </c>
      <c r="J536" s="35"/>
    </row>
    <row r="537" spans="1:10" ht="10.5">
      <c r="A537" s="173">
        <v>256119</v>
      </c>
      <c r="B537" s="57">
        <v>38798</v>
      </c>
      <c r="C537" s="59">
        <v>512000</v>
      </c>
      <c r="D537" s="58">
        <f>VLOOKUP(C537,Comptes!$A$2:$B$60,2,FALSE)</f>
        <v>0</v>
      </c>
      <c r="E537" s="59">
        <v>754000</v>
      </c>
      <c r="F537" s="58">
        <f>VLOOKUP(E537,Comptes!$A$2:$B$60,2,FALSE)</f>
        <v>0</v>
      </c>
      <c r="G537" s="36"/>
      <c r="H537" s="59" t="s">
        <v>473</v>
      </c>
      <c r="I537" s="61">
        <v>50</v>
      </c>
      <c r="J537" s="35"/>
    </row>
    <row r="538" spans="1:10" ht="10.5">
      <c r="A538" s="173">
        <v>256119</v>
      </c>
      <c r="B538" s="57">
        <v>38798</v>
      </c>
      <c r="C538" s="59">
        <v>512000</v>
      </c>
      <c r="D538" s="58">
        <f>VLOOKUP(C538,Comptes!$A$2:$B$60,2,FALSE)</f>
        <v>0</v>
      </c>
      <c r="E538" s="59">
        <v>754000</v>
      </c>
      <c r="F538" s="58">
        <f>VLOOKUP(E538,Comptes!$A$2:$B$60,2,FALSE)</f>
        <v>0</v>
      </c>
      <c r="G538" s="36"/>
      <c r="H538" s="59" t="s">
        <v>473</v>
      </c>
      <c r="I538" s="61">
        <v>150</v>
      </c>
      <c r="J538" s="35"/>
    </row>
    <row r="539" spans="1:10" ht="10.5">
      <c r="A539" s="173">
        <v>256119</v>
      </c>
      <c r="B539" s="57">
        <v>38798</v>
      </c>
      <c r="C539" s="59">
        <v>512000</v>
      </c>
      <c r="D539" s="58">
        <f>VLOOKUP(C539,Comptes!$A$2:$B$60,2,FALSE)</f>
        <v>0</v>
      </c>
      <c r="E539" s="59">
        <v>754000</v>
      </c>
      <c r="F539" s="58">
        <f>VLOOKUP(E539,Comptes!$A$2:$B$60,2,FALSE)</f>
        <v>0</v>
      </c>
      <c r="G539" s="36"/>
      <c r="H539" s="59" t="s">
        <v>473</v>
      </c>
      <c r="I539" s="61">
        <v>60</v>
      </c>
      <c r="J539" s="35"/>
    </row>
    <row r="540" spans="1:10" ht="10.5">
      <c r="A540" s="173">
        <v>256119</v>
      </c>
      <c r="B540" s="57">
        <v>38798</v>
      </c>
      <c r="C540" s="59">
        <v>530000</v>
      </c>
      <c r="D540" s="58">
        <f>VLOOKUP(C540,Comptes!$A$2:$B$60,2,FALSE)</f>
        <v>0</v>
      </c>
      <c r="E540" s="59">
        <v>706230</v>
      </c>
      <c r="F540" s="58">
        <f>VLOOKUP(E540,Comptes!$A$2:$B$60,2,FALSE)</f>
        <v>0</v>
      </c>
      <c r="G540" s="36"/>
      <c r="H540" s="63"/>
      <c r="I540" s="61">
        <v>60</v>
      </c>
      <c r="J540" s="35"/>
    </row>
    <row r="541" spans="1:10" ht="10.5">
      <c r="A541" s="173">
        <v>256120</v>
      </c>
      <c r="B541" s="57">
        <v>38797</v>
      </c>
      <c r="C541" s="59"/>
      <c r="D541" s="58"/>
      <c r="E541" s="59"/>
      <c r="F541" s="58"/>
      <c r="G541" s="59" t="s">
        <v>482</v>
      </c>
      <c r="H541" s="63"/>
      <c r="I541" s="61"/>
      <c r="J541" s="35"/>
    </row>
    <row r="542" spans="1:10" ht="10.5">
      <c r="A542" s="173">
        <v>256120</v>
      </c>
      <c r="B542" s="57">
        <v>38797</v>
      </c>
      <c r="C542" s="59">
        <v>626500</v>
      </c>
      <c r="D542" s="58">
        <f>VLOOKUP(C542,Comptes!$A$2:$B$60,2,FALSE)</f>
        <v>0</v>
      </c>
      <c r="E542" s="60">
        <v>512000</v>
      </c>
      <c r="F542" s="58">
        <f>VLOOKUP(E542,Comptes!$A$2:$B$60,2,FALSE)</f>
        <v>0</v>
      </c>
      <c r="G542" s="59" t="s">
        <v>483</v>
      </c>
      <c r="H542" s="59" t="s">
        <v>481</v>
      </c>
      <c r="I542" s="61">
        <v>476.08</v>
      </c>
      <c r="J542" s="35"/>
    </row>
    <row r="543" spans="1:10" ht="10.5">
      <c r="A543" s="173">
        <v>256121</v>
      </c>
      <c r="B543" s="57">
        <v>38799</v>
      </c>
      <c r="C543" s="59">
        <v>606700</v>
      </c>
      <c r="D543" s="58">
        <f>VLOOKUP(C543,Comptes!$A$2:$B$60,2,FALSE)</f>
        <v>0</v>
      </c>
      <c r="E543" s="60">
        <v>512000</v>
      </c>
      <c r="F543" s="58">
        <f>VLOOKUP(E543,Comptes!$A$2:$B$60,2,FALSE)</f>
        <v>0</v>
      </c>
      <c r="G543" s="59" t="s">
        <v>484</v>
      </c>
      <c r="H543" s="59" t="s">
        <v>473</v>
      </c>
      <c r="I543" s="61">
        <v>88.6</v>
      </c>
      <c r="J543" s="35"/>
    </row>
    <row r="544" spans="1:10" ht="10.5">
      <c r="A544" s="173">
        <v>256121</v>
      </c>
      <c r="B544" s="57">
        <v>38799</v>
      </c>
      <c r="C544" s="59">
        <v>606700</v>
      </c>
      <c r="D544" s="58">
        <f>VLOOKUP(C544,Comptes!$A$2:$B$60,2,FALSE)</f>
        <v>0</v>
      </c>
      <c r="E544" s="60">
        <v>512000</v>
      </c>
      <c r="F544" s="58">
        <f>VLOOKUP(E544,Comptes!$A$2:$B$60,2,FALSE)</f>
        <v>0</v>
      </c>
      <c r="G544" s="59" t="s">
        <v>485</v>
      </c>
      <c r="H544" s="59" t="s">
        <v>473</v>
      </c>
      <c r="I544" s="61">
        <v>34.7</v>
      </c>
      <c r="J544" s="35"/>
    </row>
    <row r="545" spans="1:10" ht="10.5">
      <c r="A545" s="173">
        <v>256121</v>
      </c>
      <c r="B545" s="57">
        <v>38799</v>
      </c>
      <c r="C545" s="59"/>
      <c r="D545" s="58"/>
      <c r="E545" s="60"/>
      <c r="F545" s="58"/>
      <c r="G545" s="59" t="s">
        <v>486</v>
      </c>
      <c r="H545" s="63"/>
      <c r="I545" s="61"/>
      <c r="J545" s="35"/>
    </row>
    <row r="546" spans="1:10" ht="10.5">
      <c r="A546" s="173">
        <v>256121</v>
      </c>
      <c r="B546" s="57">
        <v>38799</v>
      </c>
      <c r="C546" s="59">
        <v>606700</v>
      </c>
      <c r="D546" s="58">
        <f>VLOOKUP(C546,Comptes!$A$2:$B$60,2,FALSE)</f>
        <v>0</v>
      </c>
      <c r="E546" s="60">
        <v>512000</v>
      </c>
      <c r="F546" s="58">
        <f>VLOOKUP(E546,Comptes!$A$2:$B$60,2,FALSE)</f>
        <v>0</v>
      </c>
      <c r="G546" s="59" t="s">
        <v>487</v>
      </c>
      <c r="H546" s="59" t="s">
        <v>481</v>
      </c>
      <c r="I546" s="61">
        <v>24.28</v>
      </c>
      <c r="J546" s="35"/>
    </row>
    <row r="547" spans="1:10" ht="10.5">
      <c r="A547" s="173">
        <v>256121</v>
      </c>
      <c r="B547" s="57">
        <v>38799</v>
      </c>
      <c r="C547" s="59">
        <v>606700</v>
      </c>
      <c r="D547" s="58">
        <f>VLOOKUP(C547,Comptes!$A$2:$B$60,2,FALSE)</f>
        <v>0</v>
      </c>
      <c r="E547" s="60">
        <v>530000</v>
      </c>
      <c r="F547" s="58">
        <f>VLOOKUP(E547,Comptes!$A$2:$B$60,2,FALSE)</f>
        <v>0</v>
      </c>
      <c r="G547" s="36"/>
      <c r="H547" s="63"/>
      <c r="I547" s="61">
        <v>5.2</v>
      </c>
      <c r="J547" s="35"/>
    </row>
    <row r="548" spans="1:10" ht="10.5">
      <c r="A548" s="173">
        <v>256121</v>
      </c>
      <c r="B548" s="57">
        <v>38799</v>
      </c>
      <c r="C548" s="59">
        <v>606700</v>
      </c>
      <c r="D548" s="58">
        <f>VLOOKUP(C548,Comptes!$A$2:$B$60,2,FALSE)</f>
        <v>0</v>
      </c>
      <c r="E548" s="60">
        <v>530000</v>
      </c>
      <c r="F548" s="58">
        <f>VLOOKUP(E548,Comptes!$A$2:$B$60,2,FALSE)</f>
        <v>0</v>
      </c>
      <c r="G548" s="36"/>
      <c r="H548" s="63"/>
      <c r="I548" s="61">
        <v>15.45</v>
      </c>
      <c r="J548" s="35"/>
    </row>
    <row r="549" spans="1:10" ht="10.5">
      <c r="A549" s="173">
        <v>256121</v>
      </c>
      <c r="B549" s="57">
        <v>38799</v>
      </c>
      <c r="C549" s="59">
        <v>625000</v>
      </c>
      <c r="D549" s="58">
        <f>VLOOKUP(C549,Comptes!$A$2:$B$60,2,FALSE)</f>
        <v>0</v>
      </c>
      <c r="E549" s="60">
        <v>530000</v>
      </c>
      <c r="F549" s="58">
        <f>VLOOKUP(E549,Comptes!$A$2:$B$60,2,FALSE)</f>
        <v>0</v>
      </c>
      <c r="G549" s="36"/>
      <c r="H549" s="63"/>
      <c r="I549" s="61">
        <v>24.3</v>
      </c>
      <c r="J549" s="35"/>
    </row>
    <row r="550" spans="1:10" ht="10.5">
      <c r="A550" s="173">
        <v>256122</v>
      </c>
      <c r="B550" s="57">
        <v>38804</v>
      </c>
      <c r="C550" s="60">
        <v>641000</v>
      </c>
      <c r="D550" s="58">
        <f>VLOOKUP(C550,Comptes!$A$2:$B$60,2,FALSE)</f>
        <v>0</v>
      </c>
      <c r="E550" s="62">
        <v>512000</v>
      </c>
      <c r="F550" s="58">
        <f>VLOOKUP(E550,Comptes!$A$2:$B$60,2,FALSE)</f>
        <v>0</v>
      </c>
      <c r="G550" s="59" t="s">
        <v>488</v>
      </c>
      <c r="H550" s="59" t="s">
        <v>473</v>
      </c>
      <c r="I550" s="61">
        <v>1334.49</v>
      </c>
      <c r="J550" s="66"/>
    </row>
    <row r="551" spans="1:10" ht="10.5">
      <c r="A551" s="173">
        <v>256122</v>
      </c>
      <c r="B551" s="57">
        <v>38804</v>
      </c>
      <c r="C551" s="60">
        <v>613100</v>
      </c>
      <c r="D551" s="58">
        <f>VLOOKUP(C551,Comptes!$A$2:$B$60,2,FALSE)</f>
        <v>0</v>
      </c>
      <c r="E551" s="62">
        <v>512000</v>
      </c>
      <c r="F551" s="58">
        <f>VLOOKUP(E551,Comptes!$A$2:$B$60,2,FALSE)</f>
        <v>0</v>
      </c>
      <c r="G551" s="59" t="s">
        <v>489</v>
      </c>
      <c r="H551" s="59" t="s">
        <v>473</v>
      </c>
      <c r="I551" s="61">
        <v>610</v>
      </c>
      <c r="J551" s="66"/>
    </row>
    <row r="552" spans="1:10" ht="10.5">
      <c r="A552" s="173">
        <v>256122</v>
      </c>
      <c r="B552" s="57">
        <v>38804</v>
      </c>
      <c r="C552" s="60">
        <v>625000</v>
      </c>
      <c r="D552" s="58">
        <f>VLOOKUP(C552,Comptes!$A$2:$B$60,2,FALSE)</f>
        <v>0</v>
      </c>
      <c r="E552" s="62">
        <v>512000</v>
      </c>
      <c r="F552" s="58">
        <f>VLOOKUP(E552,Comptes!$A$2:$B$60,2,FALSE)</f>
        <v>0</v>
      </c>
      <c r="G552" s="59" t="s">
        <v>489</v>
      </c>
      <c r="H552" s="59" t="s">
        <v>473</v>
      </c>
      <c r="I552" s="61">
        <v>40</v>
      </c>
      <c r="J552" s="66"/>
    </row>
    <row r="553" spans="1:10" ht="10.5">
      <c r="A553" s="173">
        <v>256123</v>
      </c>
      <c r="B553" s="57">
        <v>38804</v>
      </c>
      <c r="C553" s="60">
        <v>512000</v>
      </c>
      <c r="D553" s="58">
        <f>VLOOKUP(C553,Comptes!$A$2:$B$60,2,FALSE)</f>
        <v>0</v>
      </c>
      <c r="E553" s="62">
        <v>754000</v>
      </c>
      <c r="F553" s="58">
        <f>VLOOKUP(E553,Comptes!$A$2:$B$60,2,FALSE)</f>
        <v>0</v>
      </c>
      <c r="G553" s="59" t="s">
        <v>170</v>
      </c>
      <c r="H553" s="59" t="s">
        <v>473</v>
      </c>
      <c r="I553" s="61">
        <v>715</v>
      </c>
      <c r="J553" s="66"/>
    </row>
    <row r="554" spans="1:10" ht="10.5">
      <c r="A554" s="173">
        <v>256124</v>
      </c>
      <c r="B554" s="57">
        <v>38807</v>
      </c>
      <c r="C554" s="60">
        <v>512000</v>
      </c>
      <c r="D554" s="58">
        <f>VLOOKUP(C554,Comptes!$A$2:$B$60,2,FALSE)</f>
        <v>0</v>
      </c>
      <c r="E554" s="62">
        <v>706210</v>
      </c>
      <c r="F554" s="58">
        <f>VLOOKUP(E554,Comptes!$A$2:$B$60,2,FALSE)</f>
        <v>0</v>
      </c>
      <c r="G554" s="59" t="s">
        <v>170</v>
      </c>
      <c r="H554" s="59" t="s">
        <v>473</v>
      </c>
      <c r="I554" s="61">
        <f>669+30</f>
        <v>699</v>
      </c>
      <c r="J554" s="66"/>
    </row>
    <row r="555" spans="1:10" ht="10.5">
      <c r="A555" s="173">
        <v>256124</v>
      </c>
      <c r="B555" s="57">
        <v>38807</v>
      </c>
      <c r="C555" s="60">
        <v>512000</v>
      </c>
      <c r="D555" s="58">
        <f>VLOOKUP(C555,Comptes!$A$2:$B$60,2,FALSE)</f>
        <v>0</v>
      </c>
      <c r="E555" s="62">
        <v>706230</v>
      </c>
      <c r="F555" s="58">
        <f>VLOOKUP(E555,Comptes!$A$2:$B$60,2,FALSE)</f>
        <v>0</v>
      </c>
      <c r="G555" s="59" t="s">
        <v>170</v>
      </c>
      <c r="H555" s="59" t="s">
        <v>473</v>
      </c>
      <c r="I555" s="61">
        <v>1075</v>
      </c>
      <c r="J555" s="177"/>
    </row>
    <row r="556" spans="1:10" ht="10.5">
      <c r="A556" s="173">
        <v>256124</v>
      </c>
      <c r="B556" s="57">
        <v>38807</v>
      </c>
      <c r="C556" s="60">
        <v>512000</v>
      </c>
      <c r="D556" s="58">
        <f>VLOOKUP(C556,Comptes!$A$2:$B$60,2,FALSE)</f>
        <v>0</v>
      </c>
      <c r="E556" s="62">
        <v>756000</v>
      </c>
      <c r="F556" s="58">
        <f>VLOOKUP(E556,Comptes!$A$2:$B$60,2,FALSE)</f>
        <v>0</v>
      </c>
      <c r="G556" s="59" t="s">
        <v>170</v>
      </c>
      <c r="H556" s="59" t="s">
        <v>473</v>
      </c>
      <c r="I556" s="61">
        <v>33</v>
      </c>
      <c r="J556" s="66"/>
    </row>
    <row r="557" spans="1:10" ht="10.5">
      <c r="A557" s="173">
        <v>256124</v>
      </c>
      <c r="B557" s="57">
        <v>38807</v>
      </c>
      <c r="C557" s="60">
        <v>512000</v>
      </c>
      <c r="D557" s="58">
        <f>VLOOKUP(C557,Comptes!$A$2:$B$60,2,FALSE)</f>
        <v>0</v>
      </c>
      <c r="E557" s="62">
        <v>708000</v>
      </c>
      <c r="F557" s="58">
        <f>VLOOKUP(E557,Comptes!$A$2:$B$60,2,FALSE)</f>
        <v>0</v>
      </c>
      <c r="G557" s="59" t="s">
        <v>170</v>
      </c>
      <c r="H557" s="59" t="s">
        <v>473</v>
      </c>
      <c r="I557" s="61">
        <v>13</v>
      </c>
      <c r="J557" s="66"/>
    </row>
    <row r="558" spans="1:10" ht="10.5">
      <c r="A558" s="173">
        <v>256124</v>
      </c>
      <c r="B558" s="57">
        <v>38807</v>
      </c>
      <c r="C558" s="60">
        <v>530000</v>
      </c>
      <c r="D558" s="58">
        <f>VLOOKUP(C558,Comptes!$A$2:$B$60,2,FALSE)</f>
        <v>0</v>
      </c>
      <c r="E558" s="62">
        <v>706210</v>
      </c>
      <c r="F558" s="58">
        <f>VLOOKUP(E558,Comptes!$A$2:$B$60,2,FALSE)</f>
        <v>0</v>
      </c>
      <c r="G558" s="59"/>
      <c r="H558" s="63"/>
      <c r="I558" s="61">
        <v>165</v>
      </c>
      <c r="J558" s="66"/>
    </row>
    <row r="559" spans="1:10" ht="10.5">
      <c r="A559" s="173">
        <v>256124</v>
      </c>
      <c r="B559" s="57">
        <v>38807</v>
      </c>
      <c r="C559" s="60">
        <v>530000</v>
      </c>
      <c r="D559" s="58">
        <f>VLOOKUP(C559,Comptes!$A$2:$B$60,2,FALSE)</f>
        <v>0</v>
      </c>
      <c r="E559" s="62">
        <v>706230</v>
      </c>
      <c r="F559" s="58">
        <f>VLOOKUP(E559,Comptes!$A$2:$B$60,2,FALSE)</f>
        <v>0</v>
      </c>
      <c r="G559" s="59"/>
      <c r="H559" s="63"/>
      <c r="I559" s="61">
        <v>265</v>
      </c>
      <c r="J559" s="66"/>
    </row>
    <row r="560" spans="1:10" ht="10.5">
      <c r="A560" s="173">
        <v>256124</v>
      </c>
      <c r="B560" s="57">
        <v>38807</v>
      </c>
      <c r="C560" s="60">
        <v>530000</v>
      </c>
      <c r="D560" s="58">
        <f>VLOOKUP(C560,Comptes!$A$2:$B$60,2,FALSE)</f>
        <v>0</v>
      </c>
      <c r="E560" s="62">
        <v>756000</v>
      </c>
      <c r="F560" s="58">
        <f>VLOOKUP(E560,Comptes!$A$2:$B$60,2,FALSE)</f>
        <v>0</v>
      </c>
      <c r="G560" s="59"/>
      <c r="H560" s="63"/>
      <c r="I560" s="61">
        <v>8</v>
      </c>
      <c r="J560" s="66"/>
    </row>
    <row r="561" spans="1:10" ht="10.5">
      <c r="A561" s="173">
        <v>256124</v>
      </c>
      <c r="B561" s="57">
        <v>38807</v>
      </c>
      <c r="C561" s="60">
        <v>530000</v>
      </c>
      <c r="D561" s="58">
        <f>VLOOKUP(C561,Comptes!$A$2:$B$60,2,FALSE)</f>
        <v>0</v>
      </c>
      <c r="E561" s="62">
        <v>708000</v>
      </c>
      <c r="F561" s="58">
        <f>VLOOKUP(E561,Comptes!$A$2:$B$60,2,FALSE)</f>
        <v>0</v>
      </c>
      <c r="G561" s="59"/>
      <c r="H561" s="63"/>
      <c r="I561" s="61">
        <v>3</v>
      </c>
      <c r="J561" s="66"/>
    </row>
    <row r="562" spans="1:10" ht="10.5">
      <c r="A562" s="173">
        <v>256125</v>
      </c>
      <c r="B562" s="57">
        <v>38807</v>
      </c>
      <c r="C562" s="60">
        <v>530000</v>
      </c>
      <c r="D562" s="58">
        <f>VLOOKUP(C562,Comptes!$A$2:$B$60,2,FALSE)</f>
        <v>0</v>
      </c>
      <c r="E562" s="62">
        <v>706230</v>
      </c>
      <c r="F562" s="58">
        <f>VLOOKUP(E562,Comptes!$A$2:$B$60,2,FALSE)</f>
        <v>0</v>
      </c>
      <c r="G562" s="59"/>
      <c r="H562" s="63"/>
      <c r="I562" s="61">
        <v>110</v>
      </c>
      <c r="J562" s="66"/>
    </row>
    <row r="563" spans="1:10" ht="10.5">
      <c r="A563" s="173">
        <v>256126</v>
      </c>
      <c r="B563" s="57">
        <v>38807</v>
      </c>
      <c r="C563" s="60">
        <v>615000</v>
      </c>
      <c r="D563" s="58">
        <f>VLOOKUP(C563,Comptes!$A$2:$B$60,2,FALSE)</f>
        <v>0</v>
      </c>
      <c r="E563" s="62">
        <v>530000</v>
      </c>
      <c r="F563" s="58">
        <f>VLOOKUP(E563,Comptes!$A$2:$B$60,2,FALSE)</f>
        <v>0</v>
      </c>
      <c r="G563" s="59"/>
      <c r="H563" s="63"/>
      <c r="I563" s="61">
        <v>63.75</v>
      </c>
      <c r="J563" s="66"/>
    </row>
    <row r="564" spans="1:10" ht="10.5">
      <c r="A564" s="173">
        <v>256126</v>
      </c>
      <c r="B564" s="57">
        <v>38807</v>
      </c>
      <c r="C564" s="60">
        <v>615000</v>
      </c>
      <c r="D564" s="58">
        <f>VLOOKUP(C564,Comptes!$A$2:$B$60,2,FALSE)</f>
        <v>0</v>
      </c>
      <c r="E564" s="62">
        <v>530000</v>
      </c>
      <c r="F564" s="58">
        <f>VLOOKUP(E564,Comptes!$A$2:$B$60,2,FALSE)</f>
        <v>0</v>
      </c>
      <c r="G564" s="59"/>
      <c r="H564" s="63"/>
      <c r="I564" s="61">
        <v>58.6</v>
      </c>
      <c r="J564" s="66"/>
    </row>
    <row r="565" spans="1:10" ht="10.5">
      <c r="A565" s="173">
        <v>256127</v>
      </c>
      <c r="B565" s="57">
        <v>38803</v>
      </c>
      <c r="C565" s="60">
        <v>512000</v>
      </c>
      <c r="D565" s="58">
        <f>VLOOKUP(C565,Comptes!$A$2:$B$60,2,FALSE)</f>
        <v>0</v>
      </c>
      <c r="E565" s="62">
        <v>706320</v>
      </c>
      <c r="F565" s="58">
        <f>VLOOKUP(E565,Comptes!$A$2:$B$60,2,FALSE)</f>
        <v>0</v>
      </c>
      <c r="G565" s="59" t="s">
        <v>171</v>
      </c>
      <c r="H565" s="59" t="s">
        <v>473</v>
      </c>
      <c r="I565" s="61">
        <v>285</v>
      </c>
      <c r="J565" s="66"/>
    </row>
    <row r="566" spans="1:10" ht="10.5">
      <c r="A566" s="173">
        <v>256128</v>
      </c>
      <c r="B566" s="57">
        <v>38808</v>
      </c>
      <c r="C566" s="60">
        <v>606700</v>
      </c>
      <c r="D566" s="58">
        <f>VLOOKUP(C566,Comptes!$A$2:$B$60,2,FALSE)</f>
        <v>0</v>
      </c>
      <c r="E566" s="62">
        <v>512000</v>
      </c>
      <c r="F566" s="58">
        <f>VLOOKUP(E566,Comptes!$A$2:$B$60,2,FALSE)</f>
        <v>0</v>
      </c>
      <c r="G566" s="59" t="s">
        <v>490</v>
      </c>
      <c r="H566" s="59" t="s">
        <v>481</v>
      </c>
      <c r="I566" s="61">
        <v>237.44</v>
      </c>
      <c r="J566" s="66"/>
    </row>
    <row r="567" spans="1:10" ht="10.5">
      <c r="A567" s="173">
        <v>256128</v>
      </c>
      <c r="B567" s="57">
        <v>38808</v>
      </c>
      <c r="C567" s="60">
        <v>606700</v>
      </c>
      <c r="D567" s="58">
        <f>VLOOKUP(C567,Comptes!$A$2:$B$60,2,FALSE)</f>
        <v>0</v>
      </c>
      <c r="E567" s="62">
        <v>512000</v>
      </c>
      <c r="F567" s="58">
        <f>VLOOKUP(E567,Comptes!$A$2:$B$60,2,FALSE)</f>
        <v>0</v>
      </c>
      <c r="G567" s="59" t="s">
        <v>491</v>
      </c>
      <c r="H567" s="59" t="s">
        <v>481</v>
      </c>
      <c r="I567" s="61">
        <v>380</v>
      </c>
      <c r="J567" s="66"/>
    </row>
    <row r="568" spans="1:10" ht="10.5">
      <c r="A568" s="173">
        <v>256128</v>
      </c>
      <c r="B568" s="57">
        <v>38808</v>
      </c>
      <c r="C568" s="60">
        <v>606700</v>
      </c>
      <c r="D568" s="58">
        <f>VLOOKUP(C568,Comptes!$A$2:$B$60,2,FALSE)</f>
        <v>0</v>
      </c>
      <c r="E568" s="62">
        <v>530000</v>
      </c>
      <c r="F568" s="58">
        <f>VLOOKUP(E568,Comptes!$A$2:$B$60,2,FALSE)</f>
        <v>0</v>
      </c>
      <c r="G568" s="59"/>
      <c r="H568" s="63"/>
      <c r="I568" s="61">
        <v>38.3</v>
      </c>
      <c r="J568" s="66"/>
    </row>
    <row r="569" spans="1:10" ht="10.5">
      <c r="A569" s="173">
        <v>256129</v>
      </c>
      <c r="B569" s="57">
        <v>38443</v>
      </c>
      <c r="C569" s="60">
        <v>615000</v>
      </c>
      <c r="D569" s="58">
        <f>VLOOKUP(C569,Comptes!$A$2:$B$60,2,FALSE)</f>
        <v>0</v>
      </c>
      <c r="E569" s="62">
        <v>512000</v>
      </c>
      <c r="F569" s="58">
        <f>VLOOKUP(E569,Comptes!$A$2:$B$60,2,FALSE)</f>
        <v>0</v>
      </c>
      <c r="G569" s="59" t="s">
        <v>492</v>
      </c>
      <c r="H569" s="36" t="s">
        <v>481</v>
      </c>
      <c r="I569" s="37">
        <v>669.37</v>
      </c>
      <c r="J569" s="64"/>
    </row>
    <row r="570" spans="1:10" ht="10.5">
      <c r="A570" s="173">
        <v>256130</v>
      </c>
      <c r="B570" s="57">
        <v>38817</v>
      </c>
      <c r="C570" s="60">
        <v>613200</v>
      </c>
      <c r="D570" s="58">
        <f>VLOOKUP(C570,Comptes!$A$2:$B$60,2,FALSE)</f>
        <v>0</v>
      </c>
      <c r="E570" s="62">
        <v>512000</v>
      </c>
      <c r="F570" s="58">
        <f>VLOOKUP(E570,Comptes!$A$2:$B$60,2,FALSE)</f>
        <v>0</v>
      </c>
      <c r="G570" s="59" t="s">
        <v>178</v>
      </c>
      <c r="H570" s="59" t="s">
        <v>481</v>
      </c>
      <c r="I570" s="61">
        <v>963.5</v>
      </c>
      <c r="J570" s="64"/>
    </row>
    <row r="571" spans="1:10" ht="10.5">
      <c r="A571" s="173">
        <v>256131</v>
      </c>
      <c r="B571" s="57">
        <v>38809</v>
      </c>
      <c r="C571" s="60">
        <v>512000</v>
      </c>
      <c r="D571" s="58">
        <f>VLOOKUP(C571,Comptes!$A$2:$B$60,2,FALSE)</f>
        <v>0</v>
      </c>
      <c r="E571" s="60">
        <v>706210</v>
      </c>
      <c r="F571" s="58">
        <f>VLOOKUP(E571,Comptes!$A$2:$B$60,2,FALSE)</f>
        <v>0</v>
      </c>
      <c r="G571" s="59" t="s">
        <v>170</v>
      </c>
      <c r="H571" s="59" t="s">
        <v>481</v>
      </c>
      <c r="I571" s="61">
        <v>235</v>
      </c>
      <c r="J571" s="64"/>
    </row>
    <row r="572" spans="1:10" ht="10.5">
      <c r="A572" s="173">
        <v>256131</v>
      </c>
      <c r="B572" s="57">
        <v>38809</v>
      </c>
      <c r="C572" s="60">
        <v>512000</v>
      </c>
      <c r="D572" s="58">
        <f>VLOOKUP(C572,Comptes!$A$2:$B$60,2,FALSE)</f>
        <v>0</v>
      </c>
      <c r="E572" s="60">
        <v>706220</v>
      </c>
      <c r="F572" s="58">
        <f>VLOOKUP(E572,Comptes!$A$2:$B$60,2,FALSE)</f>
        <v>0</v>
      </c>
      <c r="G572" s="59" t="s">
        <v>170</v>
      </c>
      <c r="H572" s="59" t="s">
        <v>481</v>
      </c>
      <c r="I572" s="61">
        <v>262</v>
      </c>
      <c r="J572" s="64"/>
    </row>
    <row r="573" spans="1:10" ht="10.5">
      <c r="A573" s="173">
        <v>256131</v>
      </c>
      <c r="B573" s="57">
        <v>38809</v>
      </c>
      <c r="C573" s="60">
        <v>512000</v>
      </c>
      <c r="D573" s="58">
        <f>VLOOKUP(C573,Comptes!$A$2:$B$60,2,FALSE)</f>
        <v>0</v>
      </c>
      <c r="E573" s="60">
        <v>706230</v>
      </c>
      <c r="F573" s="58">
        <f>VLOOKUP(E573,Comptes!$A$2:$B$60,2,FALSE)</f>
        <v>0</v>
      </c>
      <c r="G573" s="59" t="s">
        <v>170</v>
      </c>
      <c r="H573" s="59" t="s">
        <v>481</v>
      </c>
      <c r="I573" s="61">
        <v>1269</v>
      </c>
      <c r="J573" s="172"/>
    </row>
    <row r="574" spans="1:10" ht="10.5">
      <c r="A574" s="173">
        <v>256131</v>
      </c>
      <c r="B574" s="57">
        <v>38809</v>
      </c>
      <c r="C574" s="60">
        <v>512000</v>
      </c>
      <c r="D574" s="58">
        <f>VLOOKUP(C574,Comptes!$A$2:$B$60,2,FALSE)</f>
        <v>0</v>
      </c>
      <c r="E574" s="60">
        <v>756000</v>
      </c>
      <c r="F574" s="58">
        <f>VLOOKUP(E574,Comptes!$A$2:$B$60,2,FALSE)</f>
        <v>0</v>
      </c>
      <c r="G574" s="59" t="s">
        <v>170</v>
      </c>
      <c r="H574" s="59" t="s">
        <v>481</v>
      </c>
      <c r="I574" s="61">
        <v>30</v>
      </c>
      <c r="J574" s="64"/>
    </row>
    <row r="575" spans="1:10" ht="10.5">
      <c r="A575" s="47">
        <v>256131</v>
      </c>
      <c r="B575" s="48">
        <v>38809</v>
      </c>
      <c r="C575" s="49">
        <v>511200</v>
      </c>
      <c r="D575" s="58">
        <f>VLOOKUP(C575,Comptes!$A$2:$B$60,2,FALSE)</f>
        <v>0</v>
      </c>
      <c r="E575" s="49">
        <v>512000</v>
      </c>
      <c r="F575" s="58">
        <f>VLOOKUP(E575,Comptes!$A$2:$B$60,2,FALSE)</f>
        <v>0</v>
      </c>
      <c r="G575" s="49" t="s">
        <v>170</v>
      </c>
      <c r="H575" s="59" t="s">
        <v>481</v>
      </c>
      <c r="I575" s="61">
        <v>28</v>
      </c>
      <c r="J575" s="35"/>
    </row>
    <row r="576" spans="1:10" ht="10.5">
      <c r="A576" s="180">
        <v>256131</v>
      </c>
      <c r="B576" s="70">
        <v>38809</v>
      </c>
      <c r="C576" s="71">
        <v>511200</v>
      </c>
      <c r="D576" s="58">
        <f>VLOOKUP(C576,Comptes!$A$2:$B$60,2,FALSE)</f>
        <v>0</v>
      </c>
      <c r="E576" s="71">
        <v>512000</v>
      </c>
      <c r="F576" s="58">
        <f>VLOOKUP(E576,Comptes!$A$2:$B$60,2,FALSE)</f>
        <v>0</v>
      </c>
      <c r="G576" s="63" t="s">
        <v>170</v>
      </c>
      <c r="H576" s="63" t="s">
        <v>481</v>
      </c>
      <c r="I576" s="178">
        <v>12</v>
      </c>
      <c r="J576" s="55"/>
    </row>
    <row r="577" spans="1:10" ht="10.5">
      <c r="A577" s="173">
        <v>256131</v>
      </c>
      <c r="B577" s="57">
        <v>38809</v>
      </c>
      <c r="C577" s="60">
        <v>530000</v>
      </c>
      <c r="D577" s="58">
        <f>VLOOKUP(C577,Comptes!$A$2:$B$60,2,FALSE)</f>
        <v>0</v>
      </c>
      <c r="E577" s="60">
        <v>706210</v>
      </c>
      <c r="F577" s="58">
        <f>VLOOKUP(E577,Comptes!$A$2:$B$60,2,FALSE)</f>
        <v>0</v>
      </c>
      <c r="G577" s="59"/>
      <c r="H577" s="63"/>
      <c r="I577" s="61">
        <v>81</v>
      </c>
      <c r="J577" s="64"/>
    </row>
    <row r="578" spans="1:10" ht="10.5">
      <c r="A578" s="173">
        <v>256131</v>
      </c>
      <c r="B578" s="57">
        <v>38809</v>
      </c>
      <c r="C578" s="60">
        <v>530000</v>
      </c>
      <c r="D578" s="58">
        <f>VLOOKUP(C578,Comptes!$A$2:$B$60,2,FALSE)</f>
        <v>0</v>
      </c>
      <c r="E578" s="60">
        <v>706220</v>
      </c>
      <c r="F578" s="58">
        <f>VLOOKUP(E578,Comptes!$A$2:$B$60,2,FALSE)</f>
        <v>0</v>
      </c>
      <c r="G578" s="59"/>
      <c r="H578" s="63"/>
      <c r="I578" s="61">
        <v>91</v>
      </c>
      <c r="J578" s="64"/>
    </row>
    <row r="579" spans="1:10" ht="10.5">
      <c r="A579" s="173">
        <v>256131</v>
      </c>
      <c r="B579" s="57">
        <v>38809</v>
      </c>
      <c r="C579" s="60">
        <v>530000</v>
      </c>
      <c r="D579" s="58">
        <f>VLOOKUP(C579,Comptes!$A$2:$B$60,2,FALSE)</f>
        <v>0</v>
      </c>
      <c r="E579" s="60">
        <v>706230</v>
      </c>
      <c r="F579" s="58">
        <f>VLOOKUP(E579,Comptes!$A$2:$B$60,2,FALSE)</f>
        <v>0</v>
      </c>
      <c r="G579" s="59"/>
      <c r="H579" s="63"/>
      <c r="I579" s="61">
        <v>437</v>
      </c>
      <c r="J579" s="64"/>
    </row>
    <row r="580" spans="1:10" ht="10.5">
      <c r="A580" s="173">
        <v>256131</v>
      </c>
      <c r="B580" s="57">
        <v>38809</v>
      </c>
      <c r="C580" s="60">
        <v>530000</v>
      </c>
      <c r="D580" s="58">
        <f>VLOOKUP(C580,Comptes!$A$2:$B$60,2,FALSE)</f>
        <v>0</v>
      </c>
      <c r="E580" s="60">
        <v>756000</v>
      </c>
      <c r="F580" s="58">
        <f>VLOOKUP(E580,Comptes!$A$2:$B$60,2,FALSE)</f>
        <v>0</v>
      </c>
      <c r="G580" s="59"/>
      <c r="H580" s="63"/>
      <c r="I580" s="61">
        <v>11</v>
      </c>
      <c r="J580" s="64"/>
    </row>
    <row r="581" spans="1:10" ht="10.5">
      <c r="A581" s="173">
        <v>256132</v>
      </c>
      <c r="B581" s="57">
        <v>38809</v>
      </c>
      <c r="C581" s="60">
        <v>625000</v>
      </c>
      <c r="D581" s="58">
        <f>VLOOKUP(C581,Comptes!$A$2:$B$60,2,FALSE)</f>
        <v>0</v>
      </c>
      <c r="E581" s="60">
        <v>530000</v>
      </c>
      <c r="F581" s="58">
        <f>VLOOKUP(E581,Comptes!$A$2:$B$60,2,FALSE)</f>
        <v>0</v>
      </c>
      <c r="G581" s="59"/>
      <c r="H581" s="63"/>
      <c r="I581" s="61">
        <v>300</v>
      </c>
      <c r="J581" s="64"/>
    </row>
    <row r="582" spans="1:10" ht="10.5">
      <c r="A582" s="173">
        <v>256133</v>
      </c>
      <c r="B582" s="57">
        <v>38809</v>
      </c>
      <c r="C582" s="60">
        <v>625000</v>
      </c>
      <c r="D582" s="58">
        <f>VLOOKUP(C582,Comptes!$A$2:$B$60,2,FALSE)</f>
        <v>0</v>
      </c>
      <c r="E582" s="60">
        <v>530000</v>
      </c>
      <c r="F582" s="58">
        <f>VLOOKUP(E582,Comptes!$A$2:$B$60,2,FALSE)</f>
        <v>0</v>
      </c>
      <c r="G582" s="59"/>
      <c r="H582" s="63"/>
      <c r="I582" s="61">
        <v>327.04</v>
      </c>
      <c r="J582" s="64"/>
    </row>
    <row r="583" spans="1:10" ht="10.5">
      <c r="A583" s="173">
        <v>256133</v>
      </c>
      <c r="B583" s="57">
        <v>38809</v>
      </c>
      <c r="C583" s="60">
        <v>622600</v>
      </c>
      <c r="D583" s="58">
        <f>VLOOKUP(C583,Comptes!$A$2:$B$60,2,FALSE)</f>
        <v>0</v>
      </c>
      <c r="E583" s="60">
        <v>512000</v>
      </c>
      <c r="F583" s="58">
        <f>VLOOKUP(E583,Comptes!$A$2:$B$60,2,FALSE)</f>
        <v>0</v>
      </c>
      <c r="G583" s="59" t="s">
        <v>493</v>
      </c>
      <c r="H583" s="59" t="s">
        <v>481</v>
      </c>
      <c r="I583" s="61">
        <v>1195</v>
      </c>
      <c r="J583" s="64"/>
    </row>
    <row r="584" spans="1:10" ht="10.5">
      <c r="A584" s="173">
        <v>256134</v>
      </c>
      <c r="B584" s="57">
        <v>38810</v>
      </c>
      <c r="C584" s="60">
        <v>645000</v>
      </c>
      <c r="D584" s="58">
        <f>VLOOKUP(C584,Comptes!$A$2:$B$60,2,FALSE)</f>
        <v>0</v>
      </c>
      <c r="E584" s="62">
        <v>512000</v>
      </c>
      <c r="F584" s="58">
        <f>VLOOKUP(E584,Comptes!$A$2:$B$60,2,FALSE)</f>
        <v>0</v>
      </c>
      <c r="G584" s="59" t="s">
        <v>184</v>
      </c>
      <c r="H584" s="59" t="s">
        <v>494</v>
      </c>
      <c r="I584" s="61">
        <v>2298</v>
      </c>
      <c r="J584" s="64"/>
    </row>
    <row r="585" spans="1:10" ht="10.5">
      <c r="A585" s="173">
        <v>256134</v>
      </c>
      <c r="B585" s="57">
        <v>38810</v>
      </c>
      <c r="C585" s="60">
        <v>645000</v>
      </c>
      <c r="D585" s="58">
        <f>VLOOKUP(C585,Comptes!$A$2:$B$60,2,FALSE)</f>
        <v>0</v>
      </c>
      <c r="E585" s="62">
        <v>512000</v>
      </c>
      <c r="F585" s="58">
        <f>VLOOKUP(E585,Comptes!$A$2:$B$60,2,FALSE)</f>
        <v>0</v>
      </c>
      <c r="G585" s="59" t="s">
        <v>184</v>
      </c>
      <c r="H585" s="59" t="s">
        <v>495</v>
      </c>
      <c r="I585" s="61">
        <v>485</v>
      </c>
      <c r="J585" s="64"/>
    </row>
    <row r="586" spans="1:10" ht="10.5">
      <c r="A586" s="173">
        <v>256134</v>
      </c>
      <c r="B586" s="57">
        <v>38810</v>
      </c>
      <c r="C586" s="60">
        <v>645000</v>
      </c>
      <c r="D586" s="58">
        <f>VLOOKUP(C586,Comptes!$A$2:$B$60,2,FALSE)</f>
        <v>0</v>
      </c>
      <c r="E586" s="62">
        <v>512000</v>
      </c>
      <c r="F586" s="58">
        <f>VLOOKUP(E586,Comptes!$A$2:$B$60,2,FALSE)</f>
        <v>0</v>
      </c>
      <c r="G586" s="59" t="s">
        <v>184</v>
      </c>
      <c r="H586" s="59" t="s">
        <v>494</v>
      </c>
      <c r="I586" s="61">
        <v>343</v>
      </c>
      <c r="J586" s="64"/>
    </row>
    <row r="587" spans="1:10" ht="10.5">
      <c r="A587" s="173">
        <v>256135</v>
      </c>
      <c r="B587" s="57">
        <v>38810</v>
      </c>
      <c r="C587" s="60">
        <v>606700</v>
      </c>
      <c r="D587" s="58">
        <f>VLOOKUP(C587,Comptes!$A$2:$B$60,2,FALSE)</f>
        <v>0</v>
      </c>
      <c r="E587" s="60">
        <v>512000</v>
      </c>
      <c r="F587" s="58">
        <f>VLOOKUP(E587,Comptes!$A$2:$B$60,2,FALSE)</f>
        <v>0</v>
      </c>
      <c r="G587" s="59" t="s">
        <v>496</v>
      </c>
      <c r="H587" s="59" t="s">
        <v>481</v>
      </c>
      <c r="I587" s="61">
        <v>325.23</v>
      </c>
      <c r="J587" s="64"/>
    </row>
    <row r="588" spans="1:10" ht="10.5">
      <c r="A588" s="173">
        <v>256135</v>
      </c>
      <c r="B588" s="57">
        <v>38810</v>
      </c>
      <c r="C588" s="60">
        <v>606700</v>
      </c>
      <c r="D588" s="58">
        <f>VLOOKUP(C588,Comptes!$A$2:$B$60,2,FALSE)</f>
        <v>0</v>
      </c>
      <c r="E588" s="60">
        <v>530000</v>
      </c>
      <c r="F588" s="58">
        <f>VLOOKUP(E588,Comptes!$A$2:$B$60,2,FALSE)</f>
        <v>0</v>
      </c>
      <c r="G588" s="59"/>
      <c r="H588" s="63"/>
      <c r="I588" s="61">
        <f>11.14+22.2</f>
        <v>33.34</v>
      </c>
      <c r="J588" s="64"/>
    </row>
    <row r="589" spans="1:10" ht="10.5">
      <c r="A589" s="173">
        <v>256136</v>
      </c>
      <c r="B589" s="57">
        <v>38811</v>
      </c>
      <c r="C589" s="60">
        <v>615000</v>
      </c>
      <c r="D589" s="58">
        <f>VLOOKUP(C589,Comptes!$A$2:$B$60,2,FALSE)</f>
        <v>0</v>
      </c>
      <c r="E589" s="60">
        <v>512000</v>
      </c>
      <c r="F589" s="58">
        <f>VLOOKUP(E589,Comptes!$A$2:$B$60,2,FALSE)</f>
        <v>0</v>
      </c>
      <c r="G589" s="59" t="s">
        <v>497</v>
      </c>
      <c r="H589" s="59" t="s">
        <v>481</v>
      </c>
      <c r="I589" s="61">
        <v>25.15</v>
      </c>
      <c r="J589" s="64"/>
    </row>
    <row r="590" spans="1:10" ht="10.5">
      <c r="A590" s="173">
        <v>256137</v>
      </c>
      <c r="B590" s="57">
        <v>38820</v>
      </c>
      <c r="C590" s="60">
        <v>606110</v>
      </c>
      <c r="D590" s="58">
        <f>VLOOKUP(C590,Comptes!$A$2:$B$60,2,FALSE)</f>
        <v>0</v>
      </c>
      <c r="E590" s="60">
        <v>512000</v>
      </c>
      <c r="F590" s="58">
        <f>VLOOKUP(E590,Comptes!$A$2:$B$60,2,FALSE)</f>
        <v>0</v>
      </c>
      <c r="G590" s="59" t="s">
        <v>178</v>
      </c>
      <c r="H590" s="59" t="s">
        <v>481</v>
      </c>
      <c r="I590" s="61">
        <v>204.4</v>
      </c>
      <c r="J590" s="64"/>
    </row>
    <row r="591" spans="1:10" ht="10.5">
      <c r="A591" s="173">
        <v>256138</v>
      </c>
      <c r="B591" s="57">
        <v>38820</v>
      </c>
      <c r="C591" s="60">
        <v>512000</v>
      </c>
      <c r="D591" s="58">
        <f>VLOOKUP(C591,Comptes!$A$2:$B$60,2,FALSE)</f>
        <v>0</v>
      </c>
      <c r="E591" s="60">
        <v>606110</v>
      </c>
      <c r="F591" s="58">
        <f>VLOOKUP(E591,Comptes!$A$2:$B$60,2,FALSE)</f>
        <v>0</v>
      </c>
      <c r="G591" s="59" t="s">
        <v>171</v>
      </c>
      <c r="H591" s="59" t="s">
        <v>481</v>
      </c>
      <c r="I591" s="61">
        <v>49.24</v>
      </c>
      <c r="J591" s="64"/>
    </row>
    <row r="592" spans="1:10" ht="10.5">
      <c r="A592" s="173">
        <v>256139</v>
      </c>
      <c r="B592" s="57">
        <v>38795</v>
      </c>
      <c r="C592" s="60">
        <v>512000</v>
      </c>
      <c r="D592" s="58">
        <f>VLOOKUP(C592,Comptes!$A$2:$B$60,2,FALSE)</f>
        <v>0</v>
      </c>
      <c r="E592" s="60">
        <v>706100</v>
      </c>
      <c r="F592" s="58">
        <f>VLOOKUP(E592,Comptes!$A$2:$B$60,2,FALSE)</f>
        <v>0</v>
      </c>
      <c r="G592" s="59" t="s">
        <v>170</v>
      </c>
      <c r="H592" s="59" t="s">
        <v>473</v>
      </c>
      <c r="I592" s="61">
        <v>35.5</v>
      </c>
      <c r="J592" s="64"/>
    </row>
    <row r="593" spans="1:10" ht="10.5">
      <c r="A593" s="173">
        <v>256139</v>
      </c>
      <c r="B593" s="57">
        <v>38795</v>
      </c>
      <c r="C593" s="60">
        <v>512000</v>
      </c>
      <c r="D593" s="58">
        <f>VLOOKUP(C593,Comptes!$A$2:$B$60,2,FALSE)</f>
        <v>0</v>
      </c>
      <c r="E593" s="60">
        <v>706420</v>
      </c>
      <c r="F593" s="58">
        <f>VLOOKUP(E593,Comptes!$A$2:$B$60,2,FALSE)</f>
        <v>0</v>
      </c>
      <c r="G593" s="59" t="s">
        <v>170</v>
      </c>
      <c r="H593" s="59" t="s">
        <v>473</v>
      </c>
      <c r="I593" s="61">
        <v>245</v>
      </c>
      <c r="J593" s="172"/>
    </row>
    <row r="594" spans="1:10" ht="10.5">
      <c r="A594" s="173">
        <v>256139</v>
      </c>
      <c r="B594" s="57">
        <v>38795</v>
      </c>
      <c r="C594" s="60">
        <v>512000</v>
      </c>
      <c r="D594" s="58">
        <f>VLOOKUP(C594,Comptes!$A$2:$B$60,2,FALSE)</f>
        <v>0</v>
      </c>
      <c r="E594" s="60">
        <v>756000</v>
      </c>
      <c r="F594" s="58">
        <f>VLOOKUP(E594,Comptes!$A$2:$B$60,2,FALSE)</f>
        <v>0</v>
      </c>
      <c r="G594" s="59" t="s">
        <v>170</v>
      </c>
      <c r="H594" s="59" t="s">
        <v>473</v>
      </c>
      <c r="I594" s="61">
        <v>40</v>
      </c>
      <c r="J594" s="64"/>
    </row>
    <row r="595" spans="1:10" ht="10.5">
      <c r="A595" s="173">
        <v>256139</v>
      </c>
      <c r="B595" s="57">
        <v>38795</v>
      </c>
      <c r="C595" s="60">
        <v>512000</v>
      </c>
      <c r="D595" s="58">
        <f>VLOOKUP(C595,Comptes!$A$2:$B$60,2,FALSE)</f>
        <v>0</v>
      </c>
      <c r="E595" s="60">
        <v>706100</v>
      </c>
      <c r="F595" s="58">
        <f>VLOOKUP(E595,Comptes!$A$2:$B$60,2,FALSE)</f>
        <v>0</v>
      </c>
      <c r="G595" s="59" t="s">
        <v>164</v>
      </c>
      <c r="H595" s="59" t="s">
        <v>473</v>
      </c>
      <c r="I595" s="61">
        <v>160</v>
      </c>
      <c r="J595" s="64"/>
    </row>
    <row r="596" spans="1:10" ht="10.5">
      <c r="A596" s="173">
        <v>256139</v>
      </c>
      <c r="B596" s="57">
        <v>38795</v>
      </c>
      <c r="C596" s="60">
        <v>512000</v>
      </c>
      <c r="D596" s="58">
        <f>VLOOKUP(C596,Comptes!$A$2:$B$60,2,FALSE)</f>
        <v>0</v>
      </c>
      <c r="E596" s="60">
        <v>706420</v>
      </c>
      <c r="F596" s="58">
        <f>VLOOKUP(E596,Comptes!$A$2:$B$60,2,FALSE)</f>
        <v>0</v>
      </c>
      <c r="G596" s="59" t="s">
        <v>164</v>
      </c>
      <c r="H596" s="59" t="s">
        <v>473</v>
      </c>
      <c r="I596" s="61">
        <v>105</v>
      </c>
      <c r="J596" s="64"/>
    </row>
    <row r="597" spans="1:10" ht="10.5">
      <c r="A597" s="173">
        <v>256140</v>
      </c>
      <c r="B597" s="57">
        <v>38799</v>
      </c>
      <c r="C597" s="60">
        <v>512000</v>
      </c>
      <c r="D597" s="58">
        <f>VLOOKUP(C597,Comptes!$A$2:$B$60,2,FALSE)</f>
        <v>0</v>
      </c>
      <c r="E597" s="60">
        <v>706100</v>
      </c>
      <c r="F597" s="58">
        <f>VLOOKUP(E597,Comptes!$A$2:$B$60,2,FALSE)</f>
        <v>0</v>
      </c>
      <c r="G597" s="59" t="s">
        <v>170</v>
      </c>
      <c r="H597" s="59" t="s">
        <v>473</v>
      </c>
      <c r="I597" s="61">
        <v>70</v>
      </c>
      <c r="J597" s="64"/>
    </row>
    <row r="598" spans="1:10" ht="10.5">
      <c r="A598" s="173">
        <v>256140</v>
      </c>
      <c r="B598" s="57">
        <v>38799</v>
      </c>
      <c r="C598" s="60">
        <v>512000</v>
      </c>
      <c r="D598" s="58">
        <f>VLOOKUP(C598,Comptes!$A$2:$B$60,2,FALSE)</f>
        <v>0</v>
      </c>
      <c r="E598" s="60">
        <v>706420</v>
      </c>
      <c r="F598" s="58">
        <f>VLOOKUP(E598,Comptes!$A$2:$B$60,2,FALSE)</f>
        <v>0</v>
      </c>
      <c r="G598" s="59" t="s">
        <v>170</v>
      </c>
      <c r="H598" s="59" t="s">
        <v>473</v>
      </c>
      <c r="I598" s="61">
        <v>250</v>
      </c>
      <c r="J598" s="172"/>
    </row>
    <row r="599" spans="1:10" ht="10.5">
      <c r="A599" s="173">
        <v>256140</v>
      </c>
      <c r="B599" s="57">
        <v>38799</v>
      </c>
      <c r="C599" s="60">
        <v>512000</v>
      </c>
      <c r="D599" s="58">
        <f>VLOOKUP(C599,Comptes!$A$2:$B$60,2,FALSE)</f>
        <v>0</v>
      </c>
      <c r="E599" s="60">
        <v>706100</v>
      </c>
      <c r="F599" s="58">
        <f>VLOOKUP(E599,Comptes!$A$2:$B$60,2,FALSE)</f>
        <v>0</v>
      </c>
      <c r="G599" s="59" t="s">
        <v>164</v>
      </c>
      <c r="H599" s="59" t="s">
        <v>473</v>
      </c>
      <c r="I599" s="61">
        <v>10</v>
      </c>
      <c r="J599" s="64"/>
    </row>
    <row r="600" spans="1:10" ht="10.5">
      <c r="A600" s="173">
        <v>256140</v>
      </c>
      <c r="B600" s="57">
        <v>38799</v>
      </c>
      <c r="C600" s="60">
        <v>512000</v>
      </c>
      <c r="D600" s="58">
        <f>VLOOKUP(C600,Comptes!$A$2:$B$60,2,FALSE)</f>
        <v>0</v>
      </c>
      <c r="E600" s="60">
        <v>706420</v>
      </c>
      <c r="F600" s="58">
        <f>VLOOKUP(E600,Comptes!$A$2:$B$60,2,FALSE)</f>
        <v>0</v>
      </c>
      <c r="G600" s="59" t="s">
        <v>164</v>
      </c>
      <c r="H600" s="59" t="s">
        <v>473</v>
      </c>
      <c r="I600" s="61">
        <v>90</v>
      </c>
      <c r="J600" s="64"/>
    </row>
    <row r="601" spans="1:10" ht="10.5">
      <c r="A601" s="173">
        <v>256141</v>
      </c>
      <c r="B601" s="57">
        <v>38799</v>
      </c>
      <c r="C601" s="60">
        <v>512000</v>
      </c>
      <c r="D601" s="58">
        <f>VLOOKUP(C601,Comptes!$A$2:$B$60,2,FALSE)</f>
        <v>0</v>
      </c>
      <c r="E601" s="60">
        <v>706100</v>
      </c>
      <c r="F601" s="58">
        <f>VLOOKUP(E601,Comptes!$A$2:$B$60,2,FALSE)</f>
        <v>0</v>
      </c>
      <c r="G601" s="59" t="s">
        <v>170</v>
      </c>
      <c r="H601" s="59" t="s">
        <v>481</v>
      </c>
      <c r="I601" s="61">
        <v>310</v>
      </c>
      <c r="J601" s="64"/>
    </row>
    <row r="602" spans="1:10" ht="10.5">
      <c r="A602" s="173">
        <v>256141</v>
      </c>
      <c r="B602" s="57">
        <v>38799</v>
      </c>
      <c r="C602" s="60">
        <v>512000</v>
      </c>
      <c r="D602" s="58">
        <f>VLOOKUP(C602,Comptes!$A$2:$B$60,2,FALSE)</f>
        <v>0</v>
      </c>
      <c r="E602" s="60">
        <v>706100</v>
      </c>
      <c r="F602" s="58">
        <f>VLOOKUP(E602,Comptes!$A$2:$B$60,2,FALSE)</f>
        <v>0</v>
      </c>
      <c r="G602" s="59" t="s">
        <v>164</v>
      </c>
      <c r="H602" s="59" t="s">
        <v>481</v>
      </c>
      <c r="I602" s="61">
        <v>40</v>
      </c>
      <c r="J602" s="64"/>
    </row>
    <row r="603" spans="1:10" ht="10.5">
      <c r="A603" s="173">
        <v>256141</v>
      </c>
      <c r="B603" s="57">
        <v>38799</v>
      </c>
      <c r="C603" s="60">
        <v>512000</v>
      </c>
      <c r="D603" s="58">
        <f>VLOOKUP(C603,Comptes!$A$2:$B$60,2,FALSE)</f>
        <v>0</v>
      </c>
      <c r="E603" s="60">
        <v>706420</v>
      </c>
      <c r="F603" s="58">
        <f>VLOOKUP(E603,Comptes!$A$2:$B$60,2,FALSE)</f>
        <v>0</v>
      </c>
      <c r="G603" s="59" t="s">
        <v>164</v>
      </c>
      <c r="H603" s="59" t="s">
        <v>481</v>
      </c>
      <c r="I603" s="61">
        <v>190</v>
      </c>
      <c r="J603" s="64"/>
    </row>
    <row r="604" spans="1:10" ht="10.5">
      <c r="A604" s="173">
        <v>256142</v>
      </c>
      <c r="B604" s="57">
        <v>38807</v>
      </c>
      <c r="C604" s="60">
        <v>512000</v>
      </c>
      <c r="D604" s="58">
        <f>VLOOKUP(C604,Comptes!$A$2:$B$60,2,FALSE)</f>
        <v>0</v>
      </c>
      <c r="E604" s="60">
        <v>754000</v>
      </c>
      <c r="F604" s="58">
        <f>VLOOKUP(E604,Comptes!$A$2:$B$60,2,FALSE)</f>
        <v>0</v>
      </c>
      <c r="G604" s="59" t="s">
        <v>171</v>
      </c>
      <c r="H604" s="59" t="s">
        <v>473</v>
      </c>
      <c r="I604" s="61">
        <v>15.15</v>
      </c>
      <c r="J604" s="64"/>
    </row>
    <row r="605" spans="1:10" ht="10.5">
      <c r="A605" s="173">
        <v>256143</v>
      </c>
      <c r="B605" s="57">
        <v>38819</v>
      </c>
      <c r="C605" s="60">
        <v>606700</v>
      </c>
      <c r="D605" s="58">
        <f>VLOOKUP(C605,Comptes!$A$2:$B$60,2,FALSE)</f>
        <v>0</v>
      </c>
      <c r="E605" s="60">
        <v>530000</v>
      </c>
      <c r="F605" s="58">
        <f>VLOOKUP(E605,Comptes!$A$2:$B$60,2,FALSE)</f>
        <v>0</v>
      </c>
      <c r="G605" s="59"/>
      <c r="H605" s="63"/>
      <c r="I605" s="61">
        <v>17</v>
      </c>
      <c r="J605" s="64"/>
    </row>
    <row r="606" spans="1:10" ht="10.5">
      <c r="A606" s="173">
        <v>256143</v>
      </c>
      <c r="B606" s="57">
        <v>38819</v>
      </c>
      <c r="C606" s="60">
        <v>606150</v>
      </c>
      <c r="D606" s="58">
        <f>VLOOKUP(C606,Comptes!$A$2:$B$60,2,FALSE)</f>
        <v>0</v>
      </c>
      <c r="E606" s="60">
        <v>512000</v>
      </c>
      <c r="F606" s="58">
        <f>VLOOKUP(E606,Comptes!$A$2:$B$60,2,FALSE)</f>
        <v>0</v>
      </c>
      <c r="G606" s="59" t="s">
        <v>498</v>
      </c>
      <c r="H606" s="59" t="s">
        <v>494</v>
      </c>
      <c r="I606" s="61">
        <v>25</v>
      </c>
      <c r="J606" s="64"/>
    </row>
    <row r="607" spans="1:10" ht="10.5">
      <c r="A607" s="173">
        <v>256143</v>
      </c>
      <c r="B607" s="57">
        <v>38819</v>
      </c>
      <c r="C607" s="60">
        <v>606700</v>
      </c>
      <c r="D607" s="58">
        <f>VLOOKUP(C607,Comptes!$A$2:$B$60,2,FALSE)</f>
        <v>0</v>
      </c>
      <c r="E607" s="60">
        <v>512000</v>
      </c>
      <c r="F607" s="58">
        <f>VLOOKUP(E607,Comptes!$A$2:$B$60,2,FALSE)</f>
        <v>0</v>
      </c>
      <c r="G607" s="59" t="s">
        <v>499</v>
      </c>
      <c r="H607" s="59" t="s">
        <v>481</v>
      </c>
      <c r="I607" s="61">
        <v>479.35</v>
      </c>
      <c r="J607" s="64"/>
    </row>
    <row r="608" spans="1:10" ht="10.5">
      <c r="A608" s="173">
        <v>256143</v>
      </c>
      <c r="B608" s="57">
        <v>38819</v>
      </c>
      <c r="C608" s="60">
        <v>606700</v>
      </c>
      <c r="D608" s="58">
        <f>VLOOKUP(C608,Comptes!$A$2:$B$60,2,FALSE)</f>
        <v>0</v>
      </c>
      <c r="E608" s="60">
        <v>530000</v>
      </c>
      <c r="F608" s="58">
        <f>VLOOKUP(E608,Comptes!$A$2:$B$60,2,FALSE)</f>
        <v>0</v>
      </c>
      <c r="G608" s="59"/>
      <c r="H608" s="63"/>
      <c r="I608" s="61">
        <v>16.8</v>
      </c>
      <c r="J608" s="64"/>
    </row>
    <row r="609" spans="1:10" ht="10.5">
      <c r="A609" s="173">
        <v>256143</v>
      </c>
      <c r="B609" s="57">
        <v>38819</v>
      </c>
      <c r="C609" s="60">
        <v>606700</v>
      </c>
      <c r="D609" s="58">
        <f>VLOOKUP(C609,Comptes!$A$2:$B$60,2,FALSE)</f>
        <v>0</v>
      </c>
      <c r="E609" s="60">
        <v>530000</v>
      </c>
      <c r="F609" s="58">
        <f>VLOOKUP(E609,Comptes!$A$2:$B$60,2,FALSE)</f>
        <v>0</v>
      </c>
      <c r="G609" s="59"/>
      <c r="H609" s="63"/>
      <c r="I609" s="61">
        <v>10.4</v>
      </c>
      <c r="J609" s="64"/>
    </row>
    <row r="610" spans="1:10" ht="10.5">
      <c r="A610" s="173">
        <v>256143</v>
      </c>
      <c r="B610" s="57">
        <v>38819</v>
      </c>
      <c r="C610" s="60">
        <v>606700</v>
      </c>
      <c r="D610" s="58">
        <f>VLOOKUP(C610,Comptes!$A$2:$B$60,2,FALSE)</f>
        <v>0</v>
      </c>
      <c r="E610" s="60">
        <v>530000</v>
      </c>
      <c r="F610" s="58">
        <f>VLOOKUP(E610,Comptes!$A$2:$B$60,2,FALSE)</f>
        <v>0</v>
      </c>
      <c r="G610" s="59"/>
      <c r="H610" s="63"/>
      <c r="I610" s="61">
        <v>6.8</v>
      </c>
      <c r="J610" s="64"/>
    </row>
    <row r="611" spans="1:10" ht="10.5">
      <c r="A611" s="173">
        <v>256143</v>
      </c>
      <c r="B611" s="57">
        <v>38819</v>
      </c>
      <c r="C611" s="60">
        <v>622600</v>
      </c>
      <c r="D611" s="58">
        <f>VLOOKUP(C611,Comptes!$A$2:$B$60,2,FALSE)</f>
        <v>0</v>
      </c>
      <c r="E611" s="60">
        <v>530000</v>
      </c>
      <c r="F611" s="58">
        <f>VLOOKUP(E611,Comptes!$A$2:$B$60,2,FALSE)</f>
        <v>0</v>
      </c>
      <c r="G611" s="59"/>
      <c r="H611" s="63"/>
      <c r="I611" s="61">
        <v>720</v>
      </c>
      <c r="J611" s="64"/>
    </row>
    <row r="612" spans="1:10" ht="10.5">
      <c r="A612" s="173">
        <v>256143</v>
      </c>
      <c r="B612" s="57">
        <v>38819</v>
      </c>
      <c r="C612" s="60">
        <v>625000</v>
      </c>
      <c r="D612" s="58">
        <f>VLOOKUP(C612,Comptes!$A$2:$B$60,2,FALSE)</f>
        <v>0</v>
      </c>
      <c r="E612" s="60">
        <v>530000</v>
      </c>
      <c r="F612" s="58">
        <f>VLOOKUP(E612,Comptes!$A$2:$B$60,2,FALSE)</f>
        <v>0</v>
      </c>
      <c r="G612" s="59"/>
      <c r="H612" s="63"/>
      <c r="I612" s="61">
        <v>70</v>
      </c>
      <c r="J612" s="64"/>
    </row>
    <row r="613" spans="1:10" ht="10.5">
      <c r="A613" s="173">
        <v>256144</v>
      </c>
      <c r="B613" s="57">
        <v>38819</v>
      </c>
      <c r="C613" s="60">
        <v>530000</v>
      </c>
      <c r="D613" s="58">
        <f>VLOOKUP(C613,Comptes!$A$2:$B$60,2,FALSE)</f>
        <v>0</v>
      </c>
      <c r="E613" s="60">
        <v>706220</v>
      </c>
      <c r="F613" s="58">
        <f>VLOOKUP(E613,Comptes!$A$2:$B$60,2,FALSE)</f>
        <v>0</v>
      </c>
      <c r="G613" s="59"/>
      <c r="H613" s="63"/>
      <c r="I613" s="61">
        <v>20</v>
      </c>
      <c r="J613" s="64"/>
    </row>
    <row r="614" spans="1:10" ht="10.5">
      <c r="A614" s="173">
        <v>256144</v>
      </c>
      <c r="B614" s="57">
        <v>38819</v>
      </c>
      <c r="C614" s="60">
        <v>512000</v>
      </c>
      <c r="D614" s="58">
        <f>VLOOKUP(C614,Comptes!$A$2:$B$60,2,FALSE)</f>
        <v>0</v>
      </c>
      <c r="E614" s="60">
        <v>756000</v>
      </c>
      <c r="F614" s="58">
        <f>VLOOKUP(E614,Comptes!$A$2:$B$60,2,FALSE)</f>
        <v>0</v>
      </c>
      <c r="G614" s="59" t="s">
        <v>170</v>
      </c>
      <c r="H614" s="59" t="s">
        <v>481</v>
      </c>
      <c r="I614" s="61">
        <v>267</v>
      </c>
      <c r="J614" s="64"/>
    </row>
    <row r="615" spans="1:10" ht="10.5">
      <c r="A615" s="173">
        <v>256144</v>
      </c>
      <c r="B615" s="57">
        <v>38819</v>
      </c>
      <c r="C615" s="60">
        <v>512000</v>
      </c>
      <c r="D615" s="58">
        <f>VLOOKUP(C615,Comptes!$A$2:$B$60,2,FALSE)</f>
        <v>0</v>
      </c>
      <c r="E615" s="60">
        <v>708000</v>
      </c>
      <c r="F615" s="58">
        <f>VLOOKUP(E615,Comptes!$A$2:$B$60,2,FALSE)</f>
        <v>0</v>
      </c>
      <c r="G615" s="59" t="s">
        <v>170</v>
      </c>
      <c r="H615" s="59" t="s">
        <v>481</v>
      </c>
      <c r="I615" s="61">
        <v>24</v>
      </c>
      <c r="J615" s="64"/>
    </row>
    <row r="616" spans="1:10" ht="10.5">
      <c r="A616" s="173">
        <v>256144</v>
      </c>
      <c r="B616" s="57">
        <v>38819</v>
      </c>
      <c r="C616" s="60">
        <v>512000</v>
      </c>
      <c r="D616" s="58">
        <f>VLOOKUP(C616,Comptes!$A$2:$B$60,2,FALSE)</f>
        <v>0</v>
      </c>
      <c r="E616" s="60">
        <v>754000</v>
      </c>
      <c r="F616" s="58">
        <f>VLOOKUP(E616,Comptes!$A$2:$B$60,2,FALSE)</f>
        <v>0</v>
      </c>
      <c r="G616" s="59" t="s">
        <v>170</v>
      </c>
      <c r="H616" s="59" t="s">
        <v>481</v>
      </c>
      <c r="I616" s="61">
        <v>200</v>
      </c>
      <c r="J616" s="64"/>
    </row>
    <row r="617" spans="1:10" ht="10.5">
      <c r="A617" s="173">
        <v>256144</v>
      </c>
      <c r="B617" s="57">
        <v>38819</v>
      </c>
      <c r="C617" s="60">
        <v>512000</v>
      </c>
      <c r="D617" s="58">
        <f>VLOOKUP(C617,Comptes!$A$2:$B$60,2,FALSE)</f>
        <v>0</v>
      </c>
      <c r="E617" s="60">
        <v>706320</v>
      </c>
      <c r="F617" s="58">
        <f>VLOOKUP(E617,Comptes!$A$2:$B$60,2,FALSE)</f>
        <v>0</v>
      </c>
      <c r="G617" s="59" t="s">
        <v>170</v>
      </c>
      <c r="H617" s="59" t="s">
        <v>481</v>
      </c>
      <c r="I617" s="61">
        <v>735</v>
      </c>
      <c r="J617" s="64"/>
    </row>
    <row r="618" spans="1:10" ht="10.5">
      <c r="A618" s="47">
        <v>256144</v>
      </c>
      <c r="B618" s="48">
        <v>38819</v>
      </c>
      <c r="C618" s="49">
        <v>512000</v>
      </c>
      <c r="D618" s="58">
        <f>VLOOKUP(C618,Comptes!$A$2:$B$60,2,FALSE)</f>
        <v>0</v>
      </c>
      <c r="E618" s="49">
        <v>511200</v>
      </c>
      <c r="F618" s="58">
        <f>VLOOKUP(E618,Comptes!$A$2:$B$60,2,FALSE)</f>
        <v>0</v>
      </c>
      <c r="G618" s="49" t="s">
        <v>170</v>
      </c>
      <c r="H618" s="59" t="s">
        <v>481</v>
      </c>
      <c r="I618" s="61">
        <v>28</v>
      </c>
      <c r="J618" s="35"/>
    </row>
    <row r="619" spans="1:10" ht="10.5">
      <c r="A619" s="173">
        <v>256144</v>
      </c>
      <c r="B619" s="57">
        <v>38819</v>
      </c>
      <c r="C619" s="60">
        <v>512000</v>
      </c>
      <c r="D619" s="58">
        <f>VLOOKUP(C619,Comptes!$A$2:$B$60,2,FALSE)</f>
        <v>0</v>
      </c>
      <c r="E619" s="60">
        <v>754000</v>
      </c>
      <c r="F619" s="58">
        <f>VLOOKUP(E619,Comptes!$A$2:$B$60,2,FALSE)</f>
        <v>0</v>
      </c>
      <c r="G619" s="59" t="s">
        <v>170</v>
      </c>
      <c r="H619" s="59" t="s">
        <v>481</v>
      </c>
      <c r="I619" s="61">
        <v>80</v>
      </c>
      <c r="J619" s="64"/>
    </row>
    <row r="620" spans="1:10" ht="10.5">
      <c r="A620" s="173">
        <v>256144</v>
      </c>
      <c r="B620" s="57">
        <v>38819</v>
      </c>
      <c r="C620" s="60">
        <v>512000</v>
      </c>
      <c r="D620" s="58">
        <f>VLOOKUP(C620,Comptes!$A$2:$B$60,2,FALSE)</f>
        <v>0</v>
      </c>
      <c r="E620" s="60">
        <v>754000</v>
      </c>
      <c r="F620" s="58">
        <f>VLOOKUP(E620,Comptes!$A$2:$B$60,2,FALSE)</f>
        <v>0</v>
      </c>
      <c r="G620" s="59" t="s">
        <v>170</v>
      </c>
      <c r="H620" s="59" t="s">
        <v>481</v>
      </c>
      <c r="I620" s="61">
        <v>60</v>
      </c>
      <c r="J620" s="64"/>
    </row>
    <row r="621" spans="1:10" ht="10.5">
      <c r="A621" s="173">
        <v>256144</v>
      </c>
      <c r="B621" s="57">
        <v>38819</v>
      </c>
      <c r="C621" s="60">
        <v>512000</v>
      </c>
      <c r="D621" s="58">
        <f>VLOOKUP(C621,Comptes!$A$2:$B$60,2,FALSE)</f>
        <v>0</v>
      </c>
      <c r="E621" s="60">
        <v>754000</v>
      </c>
      <c r="F621" s="58">
        <f>VLOOKUP(E621,Comptes!$A$2:$B$60,2,FALSE)</f>
        <v>0</v>
      </c>
      <c r="G621" s="59" t="s">
        <v>170</v>
      </c>
      <c r="H621" s="59" t="s">
        <v>481</v>
      </c>
      <c r="I621" s="61">
        <v>2000</v>
      </c>
      <c r="J621" s="64"/>
    </row>
    <row r="622" spans="1:10" ht="10.5">
      <c r="A622" s="173">
        <v>256144</v>
      </c>
      <c r="B622" s="57">
        <v>38819</v>
      </c>
      <c r="C622" s="60">
        <v>512000</v>
      </c>
      <c r="D622" s="58">
        <f>VLOOKUP(C622,Comptes!$A$2:$B$60,2,FALSE)</f>
        <v>0</v>
      </c>
      <c r="E622" s="60">
        <v>754000</v>
      </c>
      <c r="F622" s="58">
        <f>VLOOKUP(E622,Comptes!$A$2:$B$60,2,FALSE)</f>
        <v>0</v>
      </c>
      <c r="G622" s="59" t="s">
        <v>170</v>
      </c>
      <c r="H622" s="59" t="s">
        <v>481</v>
      </c>
      <c r="I622" s="61">
        <v>50</v>
      </c>
      <c r="J622" s="64"/>
    </row>
    <row r="623" spans="1:10" ht="10.5">
      <c r="A623" s="173">
        <v>256144</v>
      </c>
      <c r="B623" s="57">
        <v>38819</v>
      </c>
      <c r="C623" s="60">
        <v>512000</v>
      </c>
      <c r="D623" s="58">
        <f>VLOOKUP(C623,Comptes!$A$2:$B$60,2,FALSE)</f>
        <v>0</v>
      </c>
      <c r="E623" s="60">
        <v>754000</v>
      </c>
      <c r="F623" s="58">
        <f>VLOOKUP(E623,Comptes!$A$2:$B$60,2,FALSE)</f>
        <v>0</v>
      </c>
      <c r="G623" s="59" t="s">
        <v>170</v>
      </c>
      <c r="H623" s="59" t="s">
        <v>481</v>
      </c>
      <c r="I623" s="61">
        <v>6</v>
      </c>
      <c r="J623" s="64"/>
    </row>
    <row r="624" spans="1:10" ht="10.5">
      <c r="A624" s="173">
        <v>256144</v>
      </c>
      <c r="B624" s="57">
        <v>38819</v>
      </c>
      <c r="C624" s="60">
        <v>512000</v>
      </c>
      <c r="D624" s="58">
        <f>VLOOKUP(C624,Comptes!$A$2:$B$60,2,FALSE)</f>
        <v>0</v>
      </c>
      <c r="E624" s="60">
        <v>706210</v>
      </c>
      <c r="F624" s="58">
        <f>VLOOKUP(E624,Comptes!$A$2:$B$60,2,FALSE)</f>
        <v>0</v>
      </c>
      <c r="G624" s="59" t="s">
        <v>170</v>
      </c>
      <c r="H624" s="59" t="s">
        <v>481</v>
      </c>
      <c r="I624" s="61">
        <v>713</v>
      </c>
      <c r="J624" s="64"/>
    </row>
    <row r="625" spans="1:10" ht="10.5">
      <c r="A625" s="173">
        <v>256144</v>
      </c>
      <c r="B625" s="57">
        <v>38819</v>
      </c>
      <c r="C625" s="60">
        <v>512000</v>
      </c>
      <c r="D625" s="58">
        <f>VLOOKUP(C625,Comptes!$A$2:$B$60,2,FALSE)</f>
        <v>0</v>
      </c>
      <c r="E625" s="60">
        <v>706220</v>
      </c>
      <c r="F625" s="58">
        <f>VLOOKUP(E625,Comptes!$A$2:$B$60,2,FALSE)</f>
        <v>0</v>
      </c>
      <c r="G625" s="59" t="s">
        <v>170</v>
      </c>
      <c r="H625" s="59" t="s">
        <v>481</v>
      </c>
      <c r="I625" s="61">
        <v>535</v>
      </c>
      <c r="J625" s="64"/>
    </row>
    <row r="626" spans="1:10" ht="10.5">
      <c r="A626" s="173">
        <v>256144</v>
      </c>
      <c r="B626" s="57">
        <v>38819</v>
      </c>
      <c r="C626" s="60">
        <v>512000</v>
      </c>
      <c r="D626" s="58">
        <f>VLOOKUP(C626,Comptes!$A$2:$B$60,2,FALSE)</f>
        <v>0</v>
      </c>
      <c r="E626" s="59">
        <v>706230</v>
      </c>
      <c r="F626" s="58">
        <f>VLOOKUP(E626,Comptes!$A$2:$B$60,2,FALSE)</f>
        <v>0</v>
      </c>
      <c r="G626" s="59" t="s">
        <v>170</v>
      </c>
      <c r="H626" s="59" t="s">
        <v>481</v>
      </c>
      <c r="I626" s="68">
        <v>2090</v>
      </c>
      <c r="J626" s="66"/>
    </row>
    <row r="627" spans="1:10" ht="10.5">
      <c r="A627" s="173">
        <v>256144</v>
      </c>
      <c r="B627" s="57">
        <v>38819</v>
      </c>
      <c r="C627" s="60">
        <v>512000</v>
      </c>
      <c r="D627" s="58">
        <f>VLOOKUP(C627,Comptes!$A$2:$B$60,2,FALSE)</f>
        <v>0</v>
      </c>
      <c r="E627" s="60">
        <v>756000</v>
      </c>
      <c r="F627" s="58">
        <f>VLOOKUP(E627,Comptes!$A$2:$B$60,2,FALSE)</f>
        <v>0</v>
      </c>
      <c r="G627" s="59" t="s">
        <v>170</v>
      </c>
      <c r="H627" s="59" t="s">
        <v>481</v>
      </c>
      <c r="I627" s="61">
        <v>85</v>
      </c>
      <c r="J627" s="64"/>
    </row>
    <row r="628" spans="1:10" ht="10.5">
      <c r="A628" s="173">
        <v>256144</v>
      </c>
      <c r="B628" s="57">
        <v>38819</v>
      </c>
      <c r="C628" s="60">
        <v>512000</v>
      </c>
      <c r="D628" s="58">
        <f>VLOOKUP(C628,Comptes!$A$2:$B$60,2,FALSE)</f>
        <v>0</v>
      </c>
      <c r="E628" s="59">
        <v>708000</v>
      </c>
      <c r="F628" s="58">
        <f>VLOOKUP(E628,Comptes!$A$2:$B$60,2,FALSE)</f>
        <v>0</v>
      </c>
      <c r="G628" s="59" t="s">
        <v>170</v>
      </c>
      <c r="H628" s="59" t="s">
        <v>481</v>
      </c>
      <c r="I628" s="68">
        <v>6</v>
      </c>
      <c r="J628" s="177"/>
    </row>
    <row r="629" spans="1:10" ht="10.5">
      <c r="A629" s="181">
        <v>256144</v>
      </c>
      <c r="B629" s="48">
        <v>38819</v>
      </c>
      <c r="C629" s="51">
        <v>511200</v>
      </c>
      <c r="D629" s="58">
        <f>VLOOKUP(C629,Comptes!$A$2:$B$60,2,FALSE)</f>
        <v>0</v>
      </c>
      <c r="E629" s="49">
        <v>512000</v>
      </c>
      <c r="F629" s="58">
        <f>VLOOKUP(E629,Comptes!$A$2:$B$60,2,FALSE)</f>
        <v>0</v>
      </c>
      <c r="G629" s="49" t="s">
        <v>170</v>
      </c>
      <c r="H629" s="49" t="s">
        <v>481</v>
      </c>
      <c r="I629" s="52">
        <v>220</v>
      </c>
      <c r="J629" s="67"/>
    </row>
    <row r="630" spans="1:10" ht="10.5">
      <c r="A630" s="181">
        <v>256144</v>
      </c>
      <c r="B630" s="48">
        <v>38819</v>
      </c>
      <c r="C630" s="51">
        <v>511200</v>
      </c>
      <c r="D630" s="58">
        <f>VLOOKUP(C630,Comptes!$A$2:$B$60,2,FALSE)</f>
        <v>0</v>
      </c>
      <c r="E630" s="49">
        <v>512000</v>
      </c>
      <c r="F630" s="58">
        <f>VLOOKUP(E630,Comptes!$A$2:$B$60,2,FALSE)</f>
        <v>0</v>
      </c>
      <c r="G630" s="49" t="s">
        <v>170</v>
      </c>
      <c r="H630" s="49" t="s">
        <v>481</v>
      </c>
      <c r="I630" s="52">
        <v>118</v>
      </c>
      <c r="J630" s="67"/>
    </row>
    <row r="631" spans="1:10" ht="10.5">
      <c r="A631" s="181">
        <v>256144</v>
      </c>
      <c r="B631" s="48">
        <v>38819</v>
      </c>
      <c r="C631" s="51">
        <v>511200</v>
      </c>
      <c r="D631" s="58">
        <f>VLOOKUP(C631,Comptes!$A$2:$B$60,2,FALSE)</f>
        <v>0</v>
      </c>
      <c r="E631" s="49">
        <v>512000</v>
      </c>
      <c r="F631" s="58">
        <f>VLOOKUP(E631,Comptes!$A$2:$B$60,2,FALSE)</f>
        <v>0</v>
      </c>
      <c r="G631" s="49" t="s">
        <v>170</v>
      </c>
      <c r="H631" s="49" t="s">
        <v>481</v>
      </c>
      <c r="I631" s="52">
        <v>118</v>
      </c>
      <c r="J631" s="67"/>
    </row>
    <row r="632" spans="1:10" ht="10.5">
      <c r="A632" s="47">
        <v>256144</v>
      </c>
      <c r="B632" s="48">
        <v>38819</v>
      </c>
      <c r="C632" s="49">
        <v>511200</v>
      </c>
      <c r="D632" s="58">
        <f>VLOOKUP(C632,Comptes!$A$2:$B$60,2,FALSE)</f>
        <v>0</v>
      </c>
      <c r="E632" s="49">
        <v>512000</v>
      </c>
      <c r="F632" s="58">
        <f>VLOOKUP(E632,Comptes!$A$2:$B$60,2,FALSE)</f>
        <v>0</v>
      </c>
      <c r="G632" s="49" t="s">
        <v>170</v>
      </c>
      <c r="H632" s="59" t="s">
        <v>481</v>
      </c>
      <c r="I632" s="61">
        <v>118</v>
      </c>
      <c r="J632" s="35"/>
    </row>
    <row r="633" spans="1:10" ht="10.5">
      <c r="A633" s="173">
        <v>256144</v>
      </c>
      <c r="B633" s="57">
        <v>38819</v>
      </c>
      <c r="C633" s="60">
        <v>530000</v>
      </c>
      <c r="D633" s="58">
        <f>VLOOKUP(C633,Comptes!$A$2:$B$60,2,FALSE)</f>
        <v>0</v>
      </c>
      <c r="E633" s="60">
        <v>754000</v>
      </c>
      <c r="F633" s="58">
        <f>VLOOKUP(E633,Comptes!$A$2:$B$60,2,FALSE)</f>
        <v>0</v>
      </c>
      <c r="G633" s="59"/>
      <c r="H633" s="63"/>
      <c r="I633" s="61">
        <v>2</v>
      </c>
      <c r="J633" s="64"/>
    </row>
    <row r="634" spans="1:10" ht="10.5">
      <c r="A634" s="173">
        <v>256144</v>
      </c>
      <c r="B634" s="57">
        <v>38819</v>
      </c>
      <c r="C634" s="60">
        <v>530000</v>
      </c>
      <c r="D634" s="58">
        <f>VLOOKUP(C634,Comptes!$A$2:$B$60,2,FALSE)</f>
        <v>0</v>
      </c>
      <c r="E634" s="60">
        <v>706210</v>
      </c>
      <c r="F634" s="58">
        <f>VLOOKUP(E634,Comptes!$A$2:$B$60,2,FALSE)</f>
        <v>0</v>
      </c>
      <c r="G634" s="59"/>
      <c r="H634" s="63"/>
      <c r="I634" s="61">
        <v>247</v>
      </c>
      <c r="J634" s="64"/>
    </row>
    <row r="635" spans="1:10" ht="10.5">
      <c r="A635" s="173">
        <v>256144</v>
      </c>
      <c r="B635" s="57">
        <v>38819</v>
      </c>
      <c r="C635" s="60">
        <v>530000</v>
      </c>
      <c r="D635" s="58">
        <f>VLOOKUP(C635,Comptes!$A$2:$B$60,2,FALSE)</f>
        <v>0</v>
      </c>
      <c r="E635" s="60">
        <v>706220</v>
      </c>
      <c r="F635" s="58">
        <f>VLOOKUP(E635,Comptes!$A$2:$B$60,2,FALSE)</f>
        <v>0</v>
      </c>
      <c r="G635" s="59"/>
      <c r="H635" s="63"/>
      <c r="I635" s="61">
        <v>185</v>
      </c>
      <c r="J635" s="64"/>
    </row>
    <row r="636" spans="1:10" ht="10.5">
      <c r="A636" s="173">
        <v>256144</v>
      </c>
      <c r="B636" s="57">
        <v>38819</v>
      </c>
      <c r="C636" s="60">
        <v>530000</v>
      </c>
      <c r="D636" s="58">
        <f>VLOOKUP(C636,Comptes!$A$2:$B$60,2,FALSE)</f>
        <v>0</v>
      </c>
      <c r="E636" s="59">
        <v>706230</v>
      </c>
      <c r="F636" s="58">
        <f>VLOOKUP(E636,Comptes!$A$2:$B$60,2,FALSE)</f>
        <v>0</v>
      </c>
      <c r="G636" s="59"/>
      <c r="H636" s="63"/>
      <c r="I636" s="68">
        <v>722</v>
      </c>
      <c r="J636" s="66"/>
    </row>
    <row r="637" spans="1:10" ht="10.5">
      <c r="A637" s="173">
        <v>256144</v>
      </c>
      <c r="B637" s="57">
        <v>38819</v>
      </c>
      <c r="C637" s="60">
        <v>530000</v>
      </c>
      <c r="D637" s="58">
        <f>VLOOKUP(C637,Comptes!$A$2:$B$60,2,FALSE)</f>
        <v>0</v>
      </c>
      <c r="E637" s="60">
        <v>756000</v>
      </c>
      <c r="F637" s="58">
        <f>VLOOKUP(E637,Comptes!$A$2:$B$60,2,FALSE)</f>
        <v>0</v>
      </c>
      <c r="G637" s="59"/>
      <c r="H637" s="63"/>
      <c r="I637" s="61">
        <v>29</v>
      </c>
      <c r="J637" s="64"/>
    </row>
    <row r="638" spans="1:10" ht="10.5">
      <c r="A638" s="173">
        <v>256144</v>
      </c>
      <c r="B638" s="57">
        <v>38819</v>
      </c>
      <c r="C638" s="60">
        <v>530000</v>
      </c>
      <c r="D638" s="58">
        <f>VLOOKUP(C638,Comptes!$A$2:$B$60,2,FALSE)</f>
        <v>0</v>
      </c>
      <c r="E638" s="59">
        <v>708000</v>
      </c>
      <c r="F638" s="58">
        <f>VLOOKUP(E638,Comptes!$A$2:$B$60,2,FALSE)</f>
        <v>0</v>
      </c>
      <c r="G638" s="59"/>
      <c r="H638" s="63"/>
      <c r="I638" s="68">
        <v>2</v>
      </c>
      <c r="J638" s="66"/>
    </row>
    <row r="639" spans="1:10" ht="10.5">
      <c r="A639" s="173">
        <v>256145</v>
      </c>
      <c r="B639" s="57">
        <v>38821</v>
      </c>
      <c r="C639" s="60">
        <v>626500</v>
      </c>
      <c r="D639" s="58">
        <f>VLOOKUP(C639,Comptes!$A$2:$B$60,2,FALSE)</f>
        <v>0</v>
      </c>
      <c r="E639" s="59">
        <v>512000</v>
      </c>
      <c r="F639" s="58">
        <f>VLOOKUP(E639,Comptes!$A$2:$B$60,2,FALSE)</f>
        <v>0</v>
      </c>
      <c r="G639" s="36" t="s">
        <v>178</v>
      </c>
      <c r="H639" s="59" t="s">
        <v>494</v>
      </c>
      <c r="I639" s="61">
        <v>19.9</v>
      </c>
      <c r="J639" s="35"/>
    </row>
    <row r="640" spans="1:10" ht="10.5">
      <c r="A640" s="173">
        <v>256146</v>
      </c>
      <c r="B640" s="57">
        <v>38819</v>
      </c>
      <c r="C640" s="59">
        <v>606400</v>
      </c>
      <c r="D640" s="58">
        <f>VLOOKUP(C640,Comptes!$A$2:$B$60,2,FALSE)</f>
        <v>0</v>
      </c>
      <c r="E640" s="59">
        <v>512000</v>
      </c>
      <c r="F640" s="58">
        <f>VLOOKUP(E640,Comptes!$A$2:$B$60,2,FALSE)</f>
        <v>0</v>
      </c>
      <c r="G640" s="59" t="s">
        <v>500</v>
      </c>
      <c r="H640" s="59" t="s">
        <v>494</v>
      </c>
      <c r="I640" s="68">
        <v>116.05</v>
      </c>
      <c r="J640" s="66"/>
    </row>
    <row r="641" spans="1:10" ht="10.5">
      <c r="A641" s="173">
        <v>256147</v>
      </c>
      <c r="B641" s="57">
        <v>38823</v>
      </c>
      <c r="C641" s="59">
        <v>512000</v>
      </c>
      <c r="D641" s="58">
        <f>VLOOKUP(C641,Comptes!$A$2:$B$60,2,FALSE)</f>
        <v>0</v>
      </c>
      <c r="E641" s="59">
        <v>706210</v>
      </c>
      <c r="F641" s="58">
        <f>VLOOKUP(E641,Comptes!$A$2:$B$60,2,FALSE)</f>
        <v>0</v>
      </c>
      <c r="G641" s="59" t="s">
        <v>170</v>
      </c>
      <c r="H641" s="59" t="s">
        <v>494</v>
      </c>
      <c r="I641" s="68">
        <v>1241</v>
      </c>
      <c r="J641" s="66"/>
    </row>
    <row r="642" spans="1:10" ht="10.5">
      <c r="A642" s="173">
        <v>256147</v>
      </c>
      <c r="B642" s="57">
        <v>38823</v>
      </c>
      <c r="C642" s="59">
        <v>512000</v>
      </c>
      <c r="D642" s="58">
        <f>VLOOKUP(C642,Comptes!$A$2:$B$60,2,FALSE)</f>
        <v>0</v>
      </c>
      <c r="E642" s="59">
        <v>706220</v>
      </c>
      <c r="F642" s="58">
        <f>VLOOKUP(E642,Comptes!$A$2:$B$60,2,FALSE)</f>
        <v>0</v>
      </c>
      <c r="G642" s="59" t="s">
        <v>170</v>
      </c>
      <c r="H642" s="59" t="s">
        <v>494</v>
      </c>
      <c r="I642" s="68">
        <v>1059</v>
      </c>
      <c r="J642" s="66"/>
    </row>
    <row r="643" spans="1:10" ht="10.5">
      <c r="A643" s="173">
        <v>256147</v>
      </c>
      <c r="B643" s="57">
        <v>38823</v>
      </c>
      <c r="C643" s="59">
        <v>512000</v>
      </c>
      <c r="D643" s="58">
        <f>VLOOKUP(C643,Comptes!$A$2:$B$60,2,FALSE)</f>
        <v>0</v>
      </c>
      <c r="E643" s="59">
        <v>706230</v>
      </c>
      <c r="F643" s="58">
        <f>VLOOKUP(E643,Comptes!$A$2:$B$60,2,FALSE)</f>
        <v>0</v>
      </c>
      <c r="G643" s="59" t="s">
        <v>170</v>
      </c>
      <c r="H643" s="59" t="s">
        <v>494</v>
      </c>
      <c r="I643" s="68">
        <v>3769</v>
      </c>
      <c r="J643" s="175"/>
    </row>
    <row r="644" spans="1:10" ht="10.5">
      <c r="A644" s="173">
        <v>256147</v>
      </c>
      <c r="B644" s="57">
        <v>38823</v>
      </c>
      <c r="C644" s="59">
        <v>512000</v>
      </c>
      <c r="D644" s="58">
        <f>VLOOKUP(C644,Comptes!$A$2:$B$60,2,FALSE)</f>
        <v>0</v>
      </c>
      <c r="E644" s="59">
        <v>756000</v>
      </c>
      <c r="F644" s="58">
        <f>VLOOKUP(E644,Comptes!$A$2:$B$60,2,FALSE)</f>
        <v>0</v>
      </c>
      <c r="G644" s="59" t="s">
        <v>170</v>
      </c>
      <c r="H644" s="59" t="s">
        <v>494</v>
      </c>
      <c r="I644" s="68">
        <v>37</v>
      </c>
      <c r="J644" s="66"/>
    </row>
    <row r="645" spans="1:10" ht="10.5">
      <c r="A645" s="173">
        <v>256147</v>
      </c>
      <c r="B645" s="57">
        <v>38823</v>
      </c>
      <c r="C645" s="59">
        <v>512000</v>
      </c>
      <c r="D645" s="58">
        <f>VLOOKUP(C645,Comptes!$A$2:$B$60,2,FALSE)</f>
        <v>0</v>
      </c>
      <c r="E645" s="59">
        <v>708000</v>
      </c>
      <c r="F645" s="58">
        <f>VLOOKUP(E645,Comptes!$A$2:$B$60,2,FALSE)</f>
        <v>0</v>
      </c>
      <c r="G645" s="59" t="s">
        <v>170</v>
      </c>
      <c r="H645" s="59" t="s">
        <v>494</v>
      </c>
      <c r="I645" s="68">
        <v>7</v>
      </c>
      <c r="J645" s="66"/>
    </row>
    <row r="646" spans="1:10" ht="10.5">
      <c r="A646" s="173">
        <v>256147</v>
      </c>
      <c r="B646" s="57">
        <v>38823</v>
      </c>
      <c r="C646" s="59">
        <v>512000</v>
      </c>
      <c r="D646" s="58">
        <f>VLOOKUP(C646,Comptes!$A$2:$B$60,2,FALSE)</f>
        <v>0</v>
      </c>
      <c r="E646" s="59">
        <v>754000</v>
      </c>
      <c r="F646" s="58">
        <f>VLOOKUP(E646,Comptes!$A$2:$B$60,2,FALSE)</f>
        <v>0</v>
      </c>
      <c r="G646" s="59" t="s">
        <v>170</v>
      </c>
      <c r="H646" s="59" t="s">
        <v>494</v>
      </c>
      <c r="I646" s="68">
        <v>98</v>
      </c>
      <c r="J646" s="66"/>
    </row>
    <row r="647" spans="1:10" ht="10.5">
      <c r="A647" s="181">
        <v>256147</v>
      </c>
      <c r="B647" s="48">
        <v>38823</v>
      </c>
      <c r="C647" s="49">
        <v>511200</v>
      </c>
      <c r="D647" s="58">
        <f>VLOOKUP(C647,Comptes!$A$2:$B$60,2,FALSE)</f>
        <v>0</v>
      </c>
      <c r="E647" s="49">
        <v>512000</v>
      </c>
      <c r="F647" s="58">
        <f>VLOOKUP(E647,Comptes!$A$2:$B$60,2,FALSE)</f>
        <v>0</v>
      </c>
      <c r="G647" s="49" t="s">
        <v>170</v>
      </c>
      <c r="H647" s="59" t="s">
        <v>494</v>
      </c>
      <c r="I647" s="52">
        <v>132</v>
      </c>
      <c r="J647" s="67"/>
    </row>
    <row r="648" spans="1:10" ht="10.5">
      <c r="A648" s="173">
        <v>256147</v>
      </c>
      <c r="B648" s="57">
        <v>38823</v>
      </c>
      <c r="C648" s="59">
        <v>530000</v>
      </c>
      <c r="D648" s="58">
        <f>VLOOKUP(C648,Comptes!$A$2:$B$60,2,FALSE)</f>
        <v>0</v>
      </c>
      <c r="E648" s="59">
        <v>706210</v>
      </c>
      <c r="F648" s="58">
        <f>VLOOKUP(E648,Comptes!$A$2:$B$60,2,FALSE)</f>
        <v>0</v>
      </c>
      <c r="G648" s="59"/>
      <c r="H648" s="63"/>
      <c r="I648" s="68">
        <v>151</v>
      </c>
      <c r="J648" s="66"/>
    </row>
    <row r="649" spans="1:10" ht="10.5">
      <c r="A649" s="173">
        <v>256147</v>
      </c>
      <c r="B649" s="57">
        <v>38823</v>
      </c>
      <c r="C649" s="59">
        <v>530000</v>
      </c>
      <c r="D649" s="58">
        <f>VLOOKUP(C649,Comptes!$A$2:$B$60,2,FALSE)</f>
        <v>0</v>
      </c>
      <c r="E649" s="59">
        <v>706220</v>
      </c>
      <c r="F649" s="58">
        <f>VLOOKUP(E649,Comptes!$A$2:$B$60,2,FALSE)</f>
        <v>0</v>
      </c>
      <c r="G649" s="59"/>
      <c r="H649" s="63"/>
      <c r="I649" s="68">
        <v>129</v>
      </c>
      <c r="J649" s="66"/>
    </row>
    <row r="650" spans="1:10" ht="10.5">
      <c r="A650" s="173">
        <v>256147</v>
      </c>
      <c r="B650" s="57">
        <v>38823</v>
      </c>
      <c r="C650" s="59">
        <v>530000</v>
      </c>
      <c r="D650" s="58">
        <f>VLOOKUP(C650,Comptes!$A$2:$B$60,2,FALSE)</f>
        <v>0</v>
      </c>
      <c r="E650" s="59">
        <v>706230</v>
      </c>
      <c r="F650" s="58">
        <f>VLOOKUP(E650,Comptes!$A$2:$B$60,2,FALSE)</f>
        <v>0</v>
      </c>
      <c r="G650" s="59"/>
      <c r="H650" s="63"/>
      <c r="I650" s="68">
        <v>461</v>
      </c>
      <c r="J650" s="66"/>
    </row>
    <row r="651" spans="1:10" ht="10.5">
      <c r="A651" s="173">
        <v>256147</v>
      </c>
      <c r="B651" s="57">
        <v>38823</v>
      </c>
      <c r="C651" s="59">
        <v>530000</v>
      </c>
      <c r="D651" s="58">
        <f>VLOOKUP(C651,Comptes!$A$2:$B$60,2,FALSE)</f>
        <v>0</v>
      </c>
      <c r="E651" s="59">
        <v>756000</v>
      </c>
      <c r="F651" s="58">
        <f>VLOOKUP(E651,Comptes!$A$2:$B$60,2,FALSE)</f>
        <v>0</v>
      </c>
      <c r="G651" s="59"/>
      <c r="H651" s="63"/>
      <c r="I651" s="68">
        <v>4</v>
      </c>
      <c r="J651" s="66"/>
    </row>
    <row r="652" spans="1:10" ht="10.5">
      <c r="A652" s="173">
        <v>256147</v>
      </c>
      <c r="B652" s="57">
        <v>38823</v>
      </c>
      <c r="C652" s="59">
        <v>530000</v>
      </c>
      <c r="D652" s="58">
        <f>VLOOKUP(C652,Comptes!$A$2:$B$60,2,FALSE)</f>
        <v>0</v>
      </c>
      <c r="E652" s="59">
        <v>708000</v>
      </c>
      <c r="F652" s="58">
        <f>VLOOKUP(E652,Comptes!$A$2:$B$60,2,FALSE)</f>
        <v>0</v>
      </c>
      <c r="G652" s="59"/>
      <c r="H652" s="63"/>
      <c r="I652" s="68">
        <v>1</v>
      </c>
      <c r="J652" s="66"/>
    </row>
    <row r="653" spans="1:10" ht="10.5">
      <c r="A653" s="173">
        <v>256147</v>
      </c>
      <c r="B653" s="57">
        <v>38823</v>
      </c>
      <c r="C653" s="59">
        <v>530000</v>
      </c>
      <c r="D653" s="58">
        <f>VLOOKUP(C653,Comptes!$A$2:$B$60,2,FALSE)</f>
        <v>0</v>
      </c>
      <c r="E653" s="59">
        <v>754000</v>
      </c>
      <c r="F653" s="58">
        <f>VLOOKUP(E653,Comptes!$A$2:$B$60,2,FALSE)</f>
        <v>0</v>
      </c>
      <c r="G653" s="59"/>
      <c r="H653" s="63"/>
      <c r="I653" s="68">
        <v>12</v>
      </c>
      <c r="J653" s="66"/>
    </row>
    <row r="654" spans="1:10" ht="10.5">
      <c r="A654" s="173">
        <v>256148</v>
      </c>
      <c r="B654" s="57">
        <v>38823</v>
      </c>
      <c r="C654" s="59">
        <v>606150</v>
      </c>
      <c r="D654" s="58">
        <f>VLOOKUP(C654,Comptes!$A$2:$B$60,2,FALSE)</f>
        <v>0</v>
      </c>
      <c r="E654" s="59">
        <v>512000</v>
      </c>
      <c r="F654" s="58">
        <f>VLOOKUP(E654,Comptes!$A$2:$B$60,2,FALSE)</f>
        <v>0</v>
      </c>
      <c r="G654" s="59" t="s">
        <v>501</v>
      </c>
      <c r="H654" s="59" t="s">
        <v>494</v>
      </c>
      <c r="I654" s="68">
        <v>2574.57</v>
      </c>
      <c r="J654" s="66"/>
    </row>
    <row r="655" spans="1:10" ht="10.5">
      <c r="A655" s="173">
        <v>256148</v>
      </c>
      <c r="B655" s="57">
        <v>38823</v>
      </c>
      <c r="C655" s="59"/>
      <c r="D655" s="58"/>
      <c r="E655" s="59"/>
      <c r="F655" s="58"/>
      <c r="G655" s="59" t="s">
        <v>502</v>
      </c>
      <c r="H655" s="63"/>
      <c r="I655" s="68"/>
      <c r="J655" s="66"/>
    </row>
    <row r="656" spans="1:10" ht="10.5">
      <c r="A656" s="173">
        <v>256148</v>
      </c>
      <c r="B656" s="57">
        <v>38823</v>
      </c>
      <c r="C656" s="59">
        <v>622600</v>
      </c>
      <c r="D656" s="58">
        <f>VLOOKUP(C656,Comptes!$A$2:$B$60,2,FALSE)</f>
        <v>0</v>
      </c>
      <c r="E656" s="59">
        <v>512000</v>
      </c>
      <c r="F656" s="58">
        <f>VLOOKUP(E656,Comptes!$A$2:$B$60,2,FALSE)</f>
        <v>0</v>
      </c>
      <c r="G656" s="59" t="s">
        <v>503</v>
      </c>
      <c r="H656" s="59" t="s">
        <v>494</v>
      </c>
      <c r="I656" s="68">
        <v>380</v>
      </c>
      <c r="J656" s="66"/>
    </row>
    <row r="657" spans="1:10" ht="10.5">
      <c r="A657" s="173">
        <v>256149</v>
      </c>
      <c r="B657" s="57">
        <v>38825</v>
      </c>
      <c r="C657" s="60">
        <v>625000</v>
      </c>
      <c r="D657" s="58">
        <f>VLOOKUP(C657,Comptes!$A$2:$B$60,2,FALSE)</f>
        <v>0</v>
      </c>
      <c r="E657" s="60">
        <v>530000</v>
      </c>
      <c r="F657" s="58">
        <f>VLOOKUP(E657,Comptes!$A$2:$B$60,2,FALSE)</f>
        <v>0</v>
      </c>
      <c r="G657" s="59"/>
      <c r="H657" s="63"/>
      <c r="I657" s="61">
        <v>490.56</v>
      </c>
      <c r="J657" s="64"/>
    </row>
    <row r="658" spans="1:10" ht="10.5">
      <c r="A658" s="173">
        <v>256149</v>
      </c>
      <c r="B658" s="57">
        <v>38825</v>
      </c>
      <c r="C658" s="59">
        <v>615000</v>
      </c>
      <c r="D658" s="58">
        <f>VLOOKUP(C658,Comptes!$A$2:$B$60,2,FALSE)</f>
        <v>0</v>
      </c>
      <c r="E658" s="59">
        <v>530000</v>
      </c>
      <c r="F658" s="58">
        <f>VLOOKUP(E658,Comptes!$A$2:$B$60,2,FALSE)</f>
        <v>0</v>
      </c>
      <c r="G658" s="59"/>
      <c r="H658" s="63"/>
      <c r="I658" s="68">
        <v>11.84</v>
      </c>
      <c r="J658" s="66"/>
    </row>
    <row r="659" spans="1:10" ht="10.5">
      <c r="A659" s="173">
        <v>256149</v>
      </c>
      <c r="B659" s="57">
        <v>38825</v>
      </c>
      <c r="C659" s="59">
        <v>622600</v>
      </c>
      <c r="D659" s="58">
        <f>VLOOKUP(C659,Comptes!$A$2:$B$60,2,FALSE)</f>
        <v>0</v>
      </c>
      <c r="E659" s="59">
        <v>512000</v>
      </c>
      <c r="F659" s="58">
        <f>VLOOKUP(E659,Comptes!$A$2:$B$60,2,FALSE)</f>
        <v>0</v>
      </c>
      <c r="G659" s="59" t="s">
        <v>504</v>
      </c>
      <c r="H659" s="59" t="s">
        <v>494</v>
      </c>
      <c r="I659" s="68">
        <v>390</v>
      </c>
      <c r="J659" s="66"/>
    </row>
    <row r="660" spans="1:10" ht="10.5">
      <c r="A660" s="173">
        <v>256150</v>
      </c>
      <c r="B660" s="57">
        <v>38832</v>
      </c>
      <c r="C660" s="59">
        <v>606400</v>
      </c>
      <c r="D660" s="58">
        <f>VLOOKUP(C660,Comptes!$A$2:$B$60,2,FALSE)</f>
        <v>0</v>
      </c>
      <c r="E660" s="59">
        <v>530000</v>
      </c>
      <c r="F660" s="58">
        <f>VLOOKUP(E660,Comptes!$A$2:$B$60,2,FALSE)</f>
        <v>0</v>
      </c>
      <c r="G660" s="59"/>
      <c r="H660" s="63"/>
      <c r="I660" s="68">
        <v>80.1</v>
      </c>
      <c r="J660" s="66"/>
    </row>
    <row r="661" spans="1:10" ht="10.5">
      <c r="A661" s="173">
        <v>256150</v>
      </c>
      <c r="B661" s="57">
        <v>38832</v>
      </c>
      <c r="C661" s="59">
        <v>625000</v>
      </c>
      <c r="D661" s="58">
        <f>VLOOKUP(C661,Comptes!$A$2:$B$60,2,FALSE)</f>
        <v>0</v>
      </c>
      <c r="E661" s="59">
        <v>530000</v>
      </c>
      <c r="F661" s="58">
        <f>VLOOKUP(E661,Comptes!$A$2:$B$60,2,FALSE)</f>
        <v>0</v>
      </c>
      <c r="G661" s="59"/>
      <c r="H661" s="63"/>
      <c r="I661" s="68">
        <v>489</v>
      </c>
      <c r="J661" s="66"/>
    </row>
    <row r="662" spans="1:10" ht="10.5">
      <c r="A662" s="173">
        <v>256151</v>
      </c>
      <c r="B662" s="57">
        <v>38808</v>
      </c>
      <c r="C662" s="60">
        <v>512000</v>
      </c>
      <c r="D662" s="58">
        <f>VLOOKUP(C662,Comptes!$A$2:$B$60,2,FALSE)</f>
        <v>0</v>
      </c>
      <c r="E662" s="59">
        <v>754000</v>
      </c>
      <c r="F662" s="58">
        <f>VLOOKUP(E662,Comptes!$A$2:$B$60,2,FALSE)</f>
        <v>0</v>
      </c>
      <c r="G662" s="59" t="s">
        <v>171</v>
      </c>
      <c r="H662" s="59" t="s">
        <v>481</v>
      </c>
      <c r="I662" s="61">
        <v>76.22</v>
      </c>
      <c r="J662" s="35"/>
    </row>
    <row r="663" spans="1:10" ht="10.5">
      <c r="A663" s="173">
        <v>256151</v>
      </c>
      <c r="B663" s="57">
        <v>38811</v>
      </c>
      <c r="C663" s="60">
        <v>512000</v>
      </c>
      <c r="D663" s="58">
        <f>VLOOKUP(C663,Comptes!$A$2:$B$60,2,FALSE)</f>
        <v>0</v>
      </c>
      <c r="E663" s="59">
        <v>754000</v>
      </c>
      <c r="F663" s="58">
        <f>VLOOKUP(E663,Comptes!$A$2:$B$60,2,FALSE)</f>
        <v>0</v>
      </c>
      <c r="G663" s="59" t="s">
        <v>171</v>
      </c>
      <c r="H663" s="59" t="s">
        <v>481</v>
      </c>
      <c r="I663" s="61">
        <v>150</v>
      </c>
      <c r="J663" s="64"/>
    </row>
    <row r="664" spans="1:10" ht="10.5">
      <c r="A664" s="173">
        <v>256151</v>
      </c>
      <c r="B664" s="57">
        <v>38811</v>
      </c>
      <c r="C664" s="60">
        <v>512000</v>
      </c>
      <c r="D664" s="58">
        <f>VLOOKUP(C664,Comptes!$A$2:$B$60,2,FALSE)</f>
        <v>0</v>
      </c>
      <c r="E664" s="59">
        <v>754000</v>
      </c>
      <c r="F664" s="58">
        <f>VLOOKUP(E664,Comptes!$A$2:$B$60,2,FALSE)</f>
        <v>0</v>
      </c>
      <c r="G664" s="59" t="s">
        <v>171</v>
      </c>
      <c r="H664" s="59" t="s">
        <v>481</v>
      </c>
      <c r="I664" s="61">
        <v>15.24</v>
      </c>
      <c r="J664" s="35"/>
    </row>
    <row r="665" spans="1:10" ht="10.5">
      <c r="A665" s="173">
        <v>256151</v>
      </c>
      <c r="B665" s="57">
        <v>38817</v>
      </c>
      <c r="C665" s="60">
        <v>512000</v>
      </c>
      <c r="D665" s="58">
        <f>VLOOKUP(C665,Comptes!$A$2:$B$60,2,FALSE)</f>
        <v>0</v>
      </c>
      <c r="E665" s="59">
        <v>754000</v>
      </c>
      <c r="F665" s="58">
        <f>VLOOKUP(E665,Comptes!$A$2:$B$60,2,FALSE)</f>
        <v>0</v>
      </c>
      <c r="G665" s="59" t="s">
        <v>171</v>
      </c>
      <c r="H665" s="59" t="s">
        <v>481</v>
      </c>
      <c r="I665" s="61">
        <v>15</v>
      </c>
      <c r="J665" s="64"/>
    </row>
    <row r="666" spans="1:10" ht="10.5">
      <c r="A666" s="173">
        <v>256152</v>
      </c>
      <c r="B666" s="57">
        <v>38827</v>
      </c>
      <c r="C666" s="60">
        <v>530000</v>
      </c>
      <c r="D666" s="58">
        <f>VLOOKUP(C666,Comptes!$A$2:$B$60,2,FALSE)</f>
        <v>0</v>
      </c>
      <c r="E666" s="59">
        <v>706230</v>
      </c>
      <c r="F666" s="58">
        <f>VLOOKUP(E666,Comptes!$A$2:$B$60,2,FALSE)</f>
        <v>0</v>
      </c>
      <c r="G666" s="59"/>
      <c r="H666" s="59"/>
      <c r="I666" s="61">
        <v>5</v>
      </c>
      <c r="J666" s="64"/>
    </row>
    <row r="667" spans="1:10" ht="10.5">
      <c r="A667" s="173">
        <v>256153</v>
      </c>
      <c r="B667" s="57">
        <v>38827</v>
      </c>
      <c r="C667" s="60">
        <v>606700</v>
      </c>
      <c r="D667" s="58">
        <f>VLOOKUP(C667,Comptes!$A$2:$B$60,2,FALSE)</f>
        <v>0</v>
      </c>
      <c r="E667" s="59">
        <v>530000</v>
      </c>
      <c r="F667" s="58">
        <f>VLOOKUP(E667,Comptes!$A$2:$B$60,2,FALSE)</f>
        <v>0</v>
      </c>
      <c r="G667" s="59"/>
      <c r="H667" s="59"/>
      <c r="I667" s="61">
        <f>11.3+91.77+11.1</f>
        <v>114.16999999999999</v>
      </c>
      <c r="J667" s="64"/>
    </row>
    <row r="668" spans="1:10" ht="10.5">
      <c r="A668" s="173">
        <v>256153</v>
      </c>
      <c r="B668" s="57">
        <v>38827</v>
      </c>
      <c r="C668" s="60">
        <v>625000</v>
      </c>
      <c r="D668" s="58">
        <f>VLOOKUP(C668,Comptes!$A$2:$B$60,2,FALSE)</f>
        <v>0</v>
      </c>
      <c r="E668" s="59">
        <v>530000</v>
      </c>
      <c r="F668" s="58">
        <f>VLOOKUP(E668,Comptes!$A$2:$B$60,2,FALSE)</f>
        <v>0</v>
      </c>
      <c r="G668" s="59"/>
      <c r="H668" s="59"/>
      <c r="I668" s="61">
        <v>26.7</v>
      </c>
      <c r="J668" s="35"/>
    </row>
    <row r="669" spans="1:10" ht="10.5">
      <c r="A669" s="173">
        <v>256154</v>
      </c>
      <c r="B669" s="57">
        <v>38832</v>
      </c>
      <c r="C669" s="60">
        <v>606400</v>
      </c>
      <c r="D669" s="58">
        <f>VLOOKUP(C669,Comptes!$A$2:$B$60,2,FALSE)</f>
        <v>0</v>
      </c>
      <c r="E669" s="59">
        <v>512000</v>
      </c>
      <c r="F669" s="58">
        <f>VLOOKUP(E669,Comptes!$A$2:$B$60,2,FALSE)</f>
        <v>0</v>
      </c>
      <c r="G669" s="59" t="s">
        <v>505</v>
      </c>
      <c r="H669" s="59" t="s">
        <v>494</v>
      </c>
      <c r="I669" s="61">
        <v>121.7</v>
      </c>
      <c r="J669" s="35"/>
    </row>
    <row r="670" spans="1:10" ht="10.5">
      <c r="A670" s="173">
        <v>256155</v>
      </c>
      <c r="B670" s="57">
        <v>38832</v>
      </c>
      <c r="C670" s="60">
        <v>530000</v>
      </c>
      <c r="D670" s="58">
        <f>VLOOKUP(C670,Comptes!$A$2:$B$60,2,FALSE)</f>
        <v>0</v>
      </c>
      <c r="E670" s="59">
        <v>706210</v>
      </c>
      <c r="F670" s="58">
        <f>VLOOKUP(E670,Comptes!$A$2:$B$60,2,FALSE)</f>
        <v>0</v>
      </c>
      <c r="G670" s="59"/>
      <c r="H670" s="63"/>
      <c r="I670" s="61">
        <v>42</v>
      </c>
      <c r="J670" s="35"/>
    </row>
    <row r="671" spans="1:10" ht="10.5">
      <c r="A671" s="173">
        <v>256155</v>
      </c>
      <c r="B671" s="57">
        <v>38832</v>
      </c>
      <c r="C671" s="60">
        <v>530000</v>
      </c>
      <c r="D671" s="58">
        <f>VLOOKUP(C671,Comptes!$A$2:$B$60,2,FALSE)</f>
        <v>0</v>
      </c>
      <c r="E671" s="59">
        <v>706220</v>
      </c>
      <c r="F671" s="58">
        <f>VLOOKUP(E671,Comptes!$A$2:$B$60,2,FALSE)</f>
        <v>0</v>
      </c>
      <c r="G671" s="59"/>
      <c r="H671" s="63"/>
      <c r="I671" s="61">
        <v>43</v>
      </c>
      <c r="J671" s="35"/>
    </row>
    <row r="672" spans="1:10" ht="10.5">
      <c r="A672" s="173">
        <v>256155</v>
      </c>
      <c r="B672" s="57">
        <v>38832</v>
      </c>
      <c r="C672" s="60">
        <v>530000</v>
      </c>
      <c r="D672" s="58">
        <f>VLOOKUP(C672,Comptes!$A$2:$B$60,2,FALSE)</f>
        <v>0</v>
      </c>
      <c r="E672" s="59">
        <v>706230</v>
      </c>
      <c r="F672" s="58">
        <f>VLOOKUP(E672,Comptes!$A$2:$B$60,2,FALSE)</f>
        <v>0</v>
      </c>
      <c r="G672" s="59"/>
      <c r="H672" s="63"/>
      <c r="I672" s="61">
        <v>77</v>
      </c>
      <c r="J672" s="35"/>
    </row>
    <row r="673" spans="1:10" ht="10.5">
      <c r="A673" s="173">
        <v>256155</v>
      </c>
      <c r="B673" s="57">
        <v>38832</v>
      </c>
      <c r="C673" s="60">
        <v>512000</v>
      </c>
      <c r="D673" s="58">
        <f>VLOOKUP(C673,Comptes!$A$2:$B$60,2,FALSE)</f>
        <v>0</v>
      </c>
      <c r="E673" s="59">
        <v>706210</v>
      </c>
      <c r="F673" s="58">
        <f>VLOOKUP(E673,Comptes!$A$2:$B$60,2,FALSE)</f>
        <v>0</v>
      </c>
      <c r="G673" s="59" t="s">
        <v>170</v>
      </c>
      <c r="H673" s="59" t="s">
        <v>494</v>
      </c>
      <c r="I673" s="61">
        <v>208</v>
      </c>
      <c r="J673" s="35"/>
    </row>
    <row r="674" spans="1:10" ht="10.5">
      <c r="A674" s="173">
        <v>256155</v>
      </c>
      <c r="B674" s="57">
        <v>38832</v>
      </c>
      <c r="C674" s="60">
        <v>512000</v>
      </c>
      <c r="D674" s="58">
        <f>VLOOKUP(C674,Comptes!$A$2:$B$60,2,FALSE)</f>
        <v>0</v>
      </c>
      <c r="E674" s="59">
        <v>706220</v>
      </c>
      <c r="F674" s="58">
        <f>VLOOKUP(E674,Comptes!$A$2:$B$60,2,FALSE)</f>
        <v>0</v>
      </c>
      <c r="G674" s="59" t="s">
        <v>170</v>
      </c>
      <c r="H674" s="59" t="s">
        <v>494</v>
      </c>
      <c r="I674" s="61">
        <v>132</v>
      </c>
      <c r="J674" s="176"/>
    </row>
    <row r="675" spans="1:10" ht="10.5">
      <c r="A675" s="173">
        <v>256155</v>
      </c>
      <c r="B675" s="57">
        <v>38832</v>
      </c>
      <c r="C675" s="60">
        <v>512000</v>
      </c>
      <c r="D675" s="58">
        <f>VLOOKUP(C675,Comptes!$A$2:$B$60,2,FALSE)</f>
        <v>0</v>
      </c>
      <c r="E675" s="59">
        <v>706230</v>
      </c>
      <c r="F675" s="58">
        <f>VLOOKUP(E675,Comptes!$A$2:$B$60,2,FALSE)</f>
        <v>0</v>
      </c>
      <c r="G675" s="59" t="s">
        <v>170</v>
      </c>
      <c r="H675" s="59" t="s">
        <v>494</v>
      </c>
      <c r="I675" s="61">
        <v>301</v>
      </c>
      <c r="J675" s="35"/>
    </row>
    <row r="676" spans="1:10" ht="10.5">
      <c r="A676" s="173">
        <v>256155</v>
      </c>
      <c r="B676" s="57">
        <v>38832</v>
      </c>
      <c r="C676" s="60">
        <v>512000</v>
      </c>
      <c r="D676" s="58">
        <f>VLOOKUP(C676,Comptes!$A$2:$B$60,2,FALSE)</f>
        <v>0</v>
      </c>
      <c r="E676" s="59">
        <v>754000</v>
      </c>
      <c r="F676" s="58">
        <f>VLOOKUP(E676,Comptes!$A$2:$B$60,2,FALSE)</f>
        <v>0</v>
      </c>
      <c r="G676" s="59" t="s">
        <v>170</v>
      </c>
      <c r="H676" s="59" t="s">
        <v>494</v>
      </c>
      <c r="I676" s="61">
        <v>40</v>
      </c>
      <c r="J676" s="35"/>
    </row>
    <row r="677" spans="1:10" ht="10.5">
      <c r="A677" s="181">
        <v>256155</v>
      </c>
      <c r="B677" s="48">
        <v>38832</v>
      </c>
      <c r="C677" s="49">
        <v>512000</v>
      </c>
      <c r="D677" s="58">
        <f>VLOOKUP(C677,Comptes!$A$2:$B$60,2,FALSE)</f>
        <v>0</v>
      </c>
      <c r="E677" s="49">
        <v>511200</v>
      </c>
      <c r="F677" s="58">
        <f>VLOOKUP(E677,Comptes!$A$2:$B$60,2,FALSE)</f>
        <v>0</v>
      </c>
      <c r="G677" s="49" t="s">
        <v>170</v>
      </c>
      <c r="H677" s="59" t="s">
        <v>494</v>
      </c>
      <c r="I677" s="52">
        <v>132</v>
      </c>
      <c r="J677" s="67"/>
    </row>
    <row r="678" spans="1:10" ht="10.5">
      <c r="A678" s="173">
        <v>256155</v>
      </c>
      <c r="B678" s="57">
        <v>38832</v>
      </c>
      <c r="C678" s="60">
        <v>512000</v>
      </c>
      <c r="D678" s="58">
        <f>VLOOKUP(C678,Comptes!$A$2:$B$60,2,FALSE)</f>
        <v>0</v>
      </c>
      <c r="E678" s="59">
        <v>758000</v>
      </c>
      <c r="F678" s="58">
        <f>VLOOKUP(E678,Comptes!$A$2:$B$60,2,FALSE)</f>
        <v>0</v>
      </c>
      <c r="G678" s="59" t="s">
        <v>170</v>
      </c>
      <c r="H678" s="59" t="s">
        <v>494</v>
      </c>
      <c r="I678" s="68">
        <v>5</v>
      </c>
      <c r="J678" s="66"/>
    </row>
    <row r="679" spans="1:10" ht="10.5">
      <c r="A679" s="173">
        <v>256155</v>
      </c>
      <c r="B679" s="57">
        <v>38832</v>
      </c>
      <c r="C679" s="60">
        <v>512000</v>
      </c>
      <c r="D679" s="58">
        <f>VLOOKUP(C679,Comptes!$A$2:$B$60,2,FALSE)</f>
        <v>0</v>
      </c>
      <c r="E679" s="59">
        <v>706210</v>
      </c>
      <c r="F679" s="58">
        <f>VLOOKUP(E679,Comptes!$A$2:$B$60,2,FALSE)</f>
        <v>0</v>
      </c>
      <c r="G679" s="59" t="s">
        <v>170</v>
      </c>
      <c r="H679" s="59" t="s">
        <v>494</v>
      </c>
      <c r="I679" s="61">
        <v>636.1</v>
      </c>
      <c r="J679" s="35"/>
    </row>
    <row r="680" spans="1:10" ht="10.5">
      <c r="A680" s="173">
        <v>256155</v>
      </c>
      <c r="B680" s="57">
        <v>38832</v>
      </c>
      <c r="C680" s="60">
        <v>606700</v>
      </c>
      <c r="D680" s="58">
        <f>VLOOKUP(C680,Comptes!$A$2:$B$60,2,FALSE)</f>
        <v>0</v>
      </c>
      <c r="E680" s="59">
        <v>512000</v>
      </c>
      <c r="F680" s="58">
        <f>VLOOKUP(E680,Comptes!$A$2:$B$60,2,FALSE)</f>
        <v>0</v>
      </c>
      <c r="G680" s="59" t="s">
        <v>170</v>
      </c>
      <c r="H680" s="59" t="s">
        <v>494</v>
      </c>
      <c r="I680" s="61">
        <v>36.1</v>
      </c>
      <c r="J680" s="35"/>
    </row>
    <row r="681" spans="1:10" ht="10.5">
      <c r="A681" s="181">
        <v>256155</v>
      </c>
      <c r="B681" s="48">
        <v>38832</v>
      </c>
      <c r="C681" s="51">
        <v>512000</v>
      </c>
      <c r="D681" s="58">
        <f>VLOOKUP(C681,Comptes!$A$2:$B$60,2,FALSE)</f>
        <v>0</v>
      </c>
      <c r="E681" s="49">
        <v>511200</v>
      </c>
      <c r="F681" s="58">
        <f>VLOOKUP(E681,Comptes!$A$2:$B$60,2,FALSE)</f>
        <v>0</v>
      </c>
      <c r="G681" s="49" t="s">
        <v>170</v>
      </c>
      <c r="H681" s="59" t="s">
        <v>494</v>
      </c>
      <c r="I681" s="52">
        <v>118</v>
      </c>
      <c r="J681" s="67"/>
    </row>
    <row r="682" spans="1:10" ht="10.5">
      <c r="A682" s="173">
        <v>256156</v>
      </c>
      <c r="B682" s="57">
        <v>38831</v>
      </c>
      <c r="C682" s="60">
        <v>512000</v>
      </c>
      <c r="D682" s="58">
        <f>VLOOKUP(C682,Comptes!$A$2:$B$60,2,FALSE)</f>
        <v>0</v>
      </c>
      <c r="E682" s="62">
        <v>706320</v>
      </c>
      <c r="F682" s="58">
        <f>VLOOKUP(E682,Comptes!$A$2:$B$60,2,FALSE)</f>
        <v>0</v>
      </c>
      <c r="G682" s="59" t="s">
        <v>171</v>
      </c>
      <c r="H682" s="59" t="s">
        <v>494</v>
      </c>
      <c r="I682" s="61">
        <v>285</v>
      </c>
      <c r="J682" s="66"/>
    </row>
    <row r="683" spans="1:10" ht="10.5">
      <c r="A683" s="173">
        <v>256156</v>
      </c>
      <c r="B683" s="57">
        <v>38831</v>
      </c>
      <c r="C683" s="60">
        <v>512000</v>
      </c>
      <c r="D683" s="58">
        <f>VLOOKUP(C683,Comptes!$A$2:$B$60,2,FALSE)</f>
        <v>0</v>
      </c>
      <c r="E683" s="62">
        <v>706320</v>
      </c>
      <c r="F683" s="58">
        <f>VLOOKUP(E683,Comptes!$A$2:$B$60,2,FALSE)</f>
        <v>0</v>
      </c>
      <c r="G683" s="59" t="s">
        <v>171</v>
      </c>
      <c r="H683" s="59" t="s">
        <v>494</v>
      </c>
      <c r="I683" s="61">
        <v>285</v>
      </c>
      <c r="J683" s="66"/>
    </row>
    <row r="684" spans="1:10" ht="10.5">
      <c r="A684" s="173">
        <v>256157</v>
      </c>
      <c r="B684" s="57">
        <v>38825</v>
      </c>
      <c r="C684" s="59">
        <v>512000</v>
      </c>
      <c r="D684" s="58">
        <f>VLOOKUP(C684,Comptes!$A$2:$B$60,2,FALSE)</f>
        <v>0</v>
      </c>
      <c r="E684" s="60">
        <v>754000</v>
      </c>
      <c r="F684" s="58">
        <f>VLOOKUP(E684,Comptes!$A$2:$B$60,2,FALSE)</f>
        <v>0</v>
      </c>
      <c r="G684" s="59" t="s">
        <v>171</v>
      </c>
      <c r="H684" s="59" t="s">
        <v>494</v>
      </c>
      <c r="I684" s="68">
        <v>30</v>
      </c>
      <c r="J684" s="64"/>
    </row>
    <row r="685" spans="1:10" ht="10.5">
      <c r="A685" s="173">
        <v>256157</v>
      </c>
      <c r="B685" s="57">
        <v>38831</v>
      </c>
      <c r="C685" s="59">
        <v>512000</v>
      </c>
      <c r="D685" s="58">
        <f>VLOOKUP(C685,Comptes!$A$2:$B$60,2,FALSE)</f>
        <v>0</v>
      </c>
      <c r="E685" s="60">
        <v>754000</v>
      </c>
      <c r="F685" s="58">
        <f>VLOOKUP(E685,Comptes!$A$2:$B$60,2,FALSE)</f>
        <v>0</v>
      </c>
      <c r="G685" s="59" t="s">
        <v>171</v>
      </c>
      <c r="H685" s="59" t="s">
        <v>494</v>
      </c>
      <c r="I685" s="68">
        <v>50</v>
      </c>
      <c r="J685" s="35"/>
    </row>
    <row r="686" spans="1:10" ht="10.5">
      <c r="A686" s="173">
        <v>256158</v>
      </c>
      <c r="B686" s="57">
        <v>38831</v>
      </c>
      <c r="C686" s="60">
        <v>626500</v>
      </c>
      <c r="D686" s="58">
        <f>VLOOKUP(C686,Comptes!$A$2:$B$60,2,FALSE)</f>
        <v>0</v>
      </c>
      <c r="E686" s="59">
        <v>512000</v>
      </c>
      <c r="F686" s="58">
        <f>VLOOKUP(E686,Comptes!$A$2:$B$60,2,FALSE)</f>
        <v>0</v>
      </c>
      <c r="G686" s="59" t="s">
        <v>178</v>
      </c>
      <c r="H686" s="59" t="s">
        <v>494</v>
      </c>
      <c r="I686" s="61">
        <v>35.74</v>
      </c>
      <c r="J686" s="35"/>
    </row>
    <row r="687" spans="1:10" ht="10.5">
      <c r="A687" s="173">
        <v>256159</v>
      </c>
      <c r="B687" s="57">
        <v>38842</v>
      </c>
      <c r="C687" s="60">
        <v>641000</v>
      </c>
      <c r="D687" s="58">
        <f>VLOOKUP(C687,Comptes!$A$2:$B$60,2,FALSE)</f>
        <v>0</v>
      </c>
      <c r="E687" s="62">
        <v>512000</v>
      </c>
      <c r="F687" s="58">
        <f>VLOOKUP(E687,Comptes!$A$2:$B$60,2,FALSE)</f>
        <v>0</v>
      </c>
      <c r="G687" s="59" t="s">
        <v>506</v>
      </c>
      <c r="H687" s="59" t="s">
        <v>495</v>
      </c>
      <c r="I687" s="61">
        <v>1334.49</v>
      </c>
      <c r="J687" s="66"/>
    </row>
    <row r="688" spans="1:10" ht="10.5">
      <c r="A688" s="173">
        <v>256159</v>
      </c>
      <c r="B688" s="57">
        <v>38842</v>
      </c>
      <c r="C688" s="60">
        <v>613100</v>
      </c>
      <c r="D688" s="58">
        <f>VLOOKUP(C688,Comptes!$A$2:$B$60,2,FALSE)</f>
        <v>0</v>
      </c>
      <c r="E688" s="62">
        <v>512000</v>
      </c>
      <c r="F688" s="58">
        <f>VLOOKUP(E688,Comptes!$A$2:$B$60,2,FALSE)</f>
        <v>0</v>
      </c>
      <c r="G688" s="59" t="s">
        <v>507</v>
      </c>
      <c r="H688" s="59" t="s">
        <v>495</v>
      </c>
      <c r="I688" s="61">
        <v>1610</v>
      </c>
      <c r="J688" s="66"/>
    </row>
    <row r="689" spans="1:10" ht="10.5">
      <c r="A689" s="173">
        <v>256160</v>
      </c>
      <c r="B689" s="57">
        <v>38842</v>
      </c>
      <c r="C689" s="60">
        <v>606700</v>
      </c>
      <c r="D689" s="58">
        <f>VLOOKUP(C689,Comptes!$A$2:$B$60,2,FALSE)</f>
        <v>0</v>
      </c>
      <c r="E689" s="62">
        <v>530000</v>
      </c>
      <c r="F689" s="58">
        <f>VLOOKUP(E689,Comptes!$A$2:$B$60,2,FALSE)</f>
        <v>0</v>
      </c>
      <c r="G689" s="59"/>
      <c r="H689" s="63"/>
      <c r="I689" s="61">
        <f>120.56+82.28+32.45+7.92+4</f>
        <v>247.21</v>
      </c>
      <c r="J689" s="66"/>
    </row>
    <row r="690" spans="1:10" ht="10.5">
      <c r="A690" s="173">
        <v>256161</v>
      </c>
      <c r="B690" s="57">
        <v>38847</v>
      </c>
      <c r="C690" s="60">
        <v>613200</v>
      </c>
      <c r="D690" s="58">
        <f>VLOOKUP(C690,Comptes!$A$2:$B$60,2,FALSE)</f>
        <v>0</v>
      </c>
      <c r="E690" s="62">
        <v>512000</v>
      </c>
      <c r="F690" s="58">
        <f>VLOOKUP(E690,Comptes!$A$2:$B$60,2,FALSE)</f>
        <v>0</v>
      </c>
      <c r="G690" s="59" t="s">
        <v>178</v>
      </c>
      <c r="H690" s="59" t="s">
        <v>495</v>
      </c>
      <c r="I690" s="61">
        <v>963.5</v>
      </c>
      <c r="J690" s="64"/>
    </row>
    <row r="691" spans="1:10" ht="10.5">
      <c r="A691" s="173">
        <v>256162</v>
      </c>
      <c r="B691" s="57">
        <v>38848</v>
      </c>
      <c r="C691" s="60">
        <v>626500</v>
      </c>
      <c r="D691" s="58">
        <f>VLOOKUP(C691,Comptes!$A$2:$B$60,2,FALSE)</f>
        <v>0</v>
      </c>
      <c r="E691" s="62">
        <v>512000</v>
      </c>
      <c r="F691" s="58">
        <f>VLOOKUP(E691,Comptes!$A$2:$B$60,2,FALSE)</f>
        <v>0</v>
      </c>
      <c r="G691" s="59" t="s">
        <v>178</v>
      </c>
      <c r="H691" s="59" t="s">
        <v>495</v>
      </c>
      <c r="I691" s="61">
        <v>181.45</v>
      </c>
      <c r="J691" s="66"/>
    </row>
    <row r="692" spans="1:10" ht="10.5">
      <c r="A692" s="173">
        <v>256163</v>
      </c>
      <c r="B692" s="57">
        <v>38850</v>
      </c>
      <c r="C692" s="60">
        <v>512000</v>
      </c>
      <c r="D692" s="58">
        <f>VLOOKUP(C692,Comptes!$A$2:$B$60,2,FALSE)</f>
        <v>0</v>
      </c>
      <c r="E692" s="62">
        <v>706210</v>
      </c>
      <c r="F692" s="58">
        <f>VLOOKUP(E692,Comptes!$A$2:$B$60,2,FALSE)</f>
        <v>0</v>
      </c>
      <c r="G692" s="59" t="s">
        <v>170</v>
      </c>
      <c r="H692" s="59" t="s">
        <v>495</v>
      </c>
      <c r="I692" s="61">
        <f>327-45</f>
        <v>282</v>
      </c>
      <c r="J692" s="66"/>
    </row>
    <row r="693" spans="1:10" ht="10.5">
      <c r="A693" s="173">
        <v>256163</v>
      </c>
      <c r="B693" s="57">
        <v>38850</v>
      </c>
      <c r="C693" s="60">
        <v>512000</v>
      </c>
      <c r="D693" s="58">
        <f>VLOOKUP(C693,Comptes!$A$2:$B$60,2,FALSE)</f>
        <v>0</v>
      </c>
      <c r="E693" s="62">
        <v>706220</v>
      </c>
      <c r="F693" s="58">
        <f>VLOOKUP(E693,Comptes!$A$2:$B$60,2,FALSE)</f>
        <v>0</v>
      </c>
      <c r="G693" s="59" t="s">
        <v>170</v>
      </c>
      <c r="H693" s="59" t="s">
        <v>495</v>
      </c>
      <c r="I693" s="61">
        <f>266-25</f>
        <v>241</v>
      </c>
      <c r="J693" s="66"/>
    </row>
    <row r="694" spans="1:10" ht="10.5">
      <c r="A694" s="173">
        <v>256163</v>
      </c>
      <c r="B694" s="57">
        <v>38850</v>
      </c>
      <c r="C694" s="60">
        <v>512000</v>
      </c>
      <c r="D694" s="58">
        <f>VLOOKUP(C694,Comptes!$A$2:$B$60,2,FALSE)</f>
        <v>0</v>
      </c>
      <c r="E694" s="62">
        <v>706230</v>
      </c>
      <c r="F694" s="58">
        <f>VLOOKUP(E694,Comptes!$A$2:$B$60,2,FALSE)</f>
        <v>0</v>
      </c>
      <c r="G694" s="59" t="s">
        <v>170</v>
      </c>
      <c r="H694" s="59" t="s">
        <v>495</v>
      </c>
      <c r="I694" s="61">
        <f>484-60</f>
        <v>424</v>
      </c>
      <c r="J694" s="66"/>
    </row>
    <row r="695" spans="1:10" ht="10.5">
      <c r="A695" s="173">
        <v>256163</v>
      </c>
      <c r="B695" s="57">
        <v>38850</v>
      </c>
      <c r="C695" s="60">
        <v>512000</v>
      </c>
      <c r="D695" s="58">
        <f>VLOOKUP(C695,Comptes!$A$2:$B$60,2,FALSE)</f>
        <v>0</v>
      </c>
      <c r="E695" s="59">
        <v>754000</v>
      </c>
      <c r="F695" s="58">
        <f>VLOOKUP(E695,Comptes!$A$2:$B$60,2,FALSE)</f>
        <v>0</v>
      </c>
      <c r="G695" s="59" t="s">
        <v>170</v>
      </c>
      <c r="H695" s="59" t="s">
        <v>495</v>
      </c>
      <c r="I695" s="61">
        <v>200</v>
      </c>
      <c r="J695" s="176"/>
    </row>
    <row r="696" spans="1:10" ht="10.5">
      <c r="A696" s="173">
        <v>256163</v>
      </c>
      <c r="B696" s="57">
        <v>38850</v>
      </c>
      <c r="C696" s="60">
        <v>512000</v>
      </c>
      <c r="D696" s="58">
        <f>VLOOKUP(C696,Comptes!$A$2:$B$60,2,FALSE)</f>
        <v>0</v>
      </c>
      <c r="E696" s="59">
        <v>756000</v>
      </c>
      <c r="F696" s="58">
        <f>VLOOKUP(E696,Comptes!$A$2:$B$60,2,FALSE)</f>
        <v>0</v>
      </c>
      <c r="G696" s="59" t="s">
        <v>170</v>
      </c>
      <c r="H696" s="59" t="s">
        <v>495</v>
      </c>
      <c r="I696" s="61">
        <v>101</v>
      </c>
      <c r="J696" s="35"/>
    </row>
    <row r="697" spans="1:10" ht="10.5">
      <c r="A697" s="173">
        <v>256163</v>
      </c>
      <c r="B697" s="57">
        <v>38850</v>
      </c>
      <c r="C697" s="60">
        <v>512000</v>
      </c>
      <c r="D697" s="58">
        <f>VLOOKUP(C697,Comptes!$A$2:$B$60,2,FALSE)</f>
        <v>0</v>
      </c>
      <c r="E697" s="59">
        <v>708000</v>
      </c>
      <c r="F697" s="58">
        <f>VLOOKUP(E697,Comptes!$A$2:$B$60,2,FALSE)</f>
        <v>0</v>
      </c>
      <c r="G697" s="59" t="s">
        <v>170</v>
      </c>
      <c r="H697" s="59" t="s">
        <v>495</v>
      </c>
      <c r="I697" s="61">
        <v>16</v>
      </c>
      <c r="J697" s="35"/>
    </row>
    <row r="698" spans="1:10" ht="10.5">
      <c r="A698" s="173">
        <v>256163</v>
      </c>
      <c r="B698" s="57">
        <v>38850</v>
      </c>
      <c r="C698" s="60">
        <v>512000</v>
      </c>
      <c r="D698" s="58">
        <f>VLOOKUP(C698,Comptes!$A$2:$B$60,2,FALSE)</f>
        <v>0</v>
      </c>
      <c r="E698" s="59">
        <v>754000</v>
      </c>
      <c r="F698" s="58">
        <f>VLOOKUP(E698,Comptes!$A$2:$B$60,2,FALSE)</f>
        <v>0</v>
      </c>
      <c r="G698" s="59" t="s">
        <v>170</v>
      </c>
      <c r="H698" s="59" t="s">
        <v>495</v>
      </c>
      <c r="I698" s="61">
        <v>100</v>
      </c>
      <c r="J698" s="35"/>
    </row>
    <row r="699" spans="1:10" ht="10.5">
      <c r="A699" s="173">
        <v>256163</v>
      </c>
      <c r="B699" s="57">
        <v>38850</v>
      </c>
      <c r="C699" s="60">
        <v>512000</v>
      </c>
      <c r="D699" s="58">
        <f>VLOOKUP(C699,Comptes!$A$2:$B$60,2,FALSE)</f>
        <v>0</v>
      </c>
      <c r="E699" s="59">
        <v>754000</v>
      </c>
      <c r="F699" s="58">
        <f>VLOOKUP(E699,Comptes!$A$2:$B$60,2,FALSE)</f>
        <v>0</v>
      </c>
      <c r="G699" s="59" t="s">
        <v>170</v>
      </c>
      <c r="H699" s="59" t="s">
        <v>495</v>
      </c>
      <c r="I699" s="61">
        <v>60</v>
      </c>
      <c r="J699" s="35"/>
    </row>
    <row r="700" spans="1:10" ht="10.5">
      <c r="A700" s="173">
        <v>256163</v>
      </c>
      <c r="B700" s="57">
        <v>38850</v>
      </c>
      <c r="C700" s="60">
        <v>512000</v>
      </c>
      <c r="D700" s="58">
        <f>VLOOKUP(C700,Comptes!$A$2:$B$60,2,FALSE)</f>
        <v>0</v>
      </c>
      <c r="E700" s="59">
        <v>754000</v>
      </c>
      <c r="F700" s="58">
        <f>VLOOKUP(E700,Comptes!$A$2:$B$60,2,FALSE)</f>
        <v>0</v>
      </c>
      <c r="G700" s="59" t="s">
        <v>170</v>
      </c>
      <c r="H700" s="59" t="s">
        <v>495</v>
      </c>
      <c r="I700" s="61">
        <v>60</v>
      </c>
      <c r="J700" s="35"/>
    </row>
    <row r="701" spans="1:10" ht="10.5">
      <c r="A701" s="173">
        <v>256163</v>
      </c>
      <c r="B701" s="57">
        <v>38850</v>
      </c>
      <c r="C701" s="60">
        <v>530000</v>
      </c>
      <c r="D701" s="58">
        <f>VLOOKUP(C701,Comptes!$A$2:$B$60,2,FALSE)</f>
        <v>0</v>
      </c>
      <c r="E701" s="62">
        <v>706210</v>
      </c>
      <c r="F701" s="58">
        <f>VLOOKUP(E701,Comptes!$A$2:$B$60,2,FALSE)</f>
        <v>0</v>
      </c>
      <c r="G701" s="59"/>
      <c r="H701" s="63"/>
      <c r="I701" s="61">
        <v>192</v>
      </c>
      <c r="J701" s="66"/>
    </row>
    <row r="702" spans="1:10" ht="10.5">
      <c r="A702" s="173">
        <v>256163</v>
      </c>
      <c r="B702" s="57">
        <v>38850</v>
      </c>
      <c r="C702" s="60">
        <v>530000</v>
      </c>
      <c r="D702" s="58">
        <f>VLOOKUP(C702,Comptes!$A$2:$B$60,2,FALSE)</f>
        <v>0</v>
      </c>
      <c r="E702" s="62">
        <v>706220</v>
      </c>
      <c r="F702" s="58">
        <f>VLOOKUP(E702,Comptes!$A$2:$B$60,2,FALSE)</f>
        <v>0</v>
      </c>
      <c r="G702" s="59"/>
      <c r="H702" s="63"/>
      <c r="I702" s="61">
        <v>124</v>
      </c>
      <c r="J702" s="66"/>
    </row>
    <row r="703" spans="1:10" ht="10.5">
      <c r="A703" s="173">
        <v>256163</v>
      </c>
      <c r="B703" s="57">
        <v>38850</v>
      </c>
      <c r="C703" s="60">
        <v>530000</v>
      </c>
      <c r="D703" s="58">
        <f>VLOOKUP(C703,Comptes!$A$2:$B$60,2,FALSE)</f>
        <v>0</v>
      </c>
      <c r="E703" s="62">
        <v>706230</v>
      </c>
      <c r="F703" s="58">
        <f>VLOOKUP(E703,Comptes!$A$2:$B$60,2,FALSE)</f>
        <v>0</v>
      </c>
      <c r="G703" s="59"/>
      <c r="H703" s="63"/>
      <c r="I703" s="61">
        <v>295</v>
      </c>
      <c r="J703" s="66"/>
    </row>
    <row r="704" spans="1:10" ht="10.5">
      <c r="A704" s="173">
        <v>256163</v>
      </c>
      <c r="B704" s="57">
        <v>38850</v>
      </c>
      <c r="C704" s="60">
        <v>530000</v>
      </c>
      <c r="D704" s="58">
        <f>VLOOKUP(C704,Comptes!$A$2:$B$60,2,FALSE)</f>
        <v>0</v>
      </c>
      <c r="E704" s="59">
        <v>756000</v>
      </c>
      <c r="F704" s="58">
        <f>VLOOKUP(E704,Comptes!$A$2:$B$60,2,FALSE)</f>
        <v>0</v>
      </c>
      <c r="G704" s="59"/>
      <c r="H704" s="63"/>
      <c r="I704" s="61">
        <v>9</v>
      </c>
      <c r="J704" s="35"/>
    </row>
    <row r="705" spans="1:10" ht="10.5">
      <c r="A705" s="173">
        <v>256163</v>
      </c>
      <c r="B705" s="57">
        <v>38850</v>
      </c>
      <c r="C705" s="60">
        <v>530000</v>
      </c>
      <c r="D705" s="58">
        <f>VLOOKUP(C705,Comptes!$A$2:$B$60,2,FALSE)</f>
        <v>0</v>
      </c>
      <c r="E705" s="59">
        <v>706230</v>
      </c>
      <c r="F705" s="58">
        <f>VLOOKUP(E705,Comptes!$A$2:$B$60,2,FALSE)</f>
        <v>0</v>
      </c>
      <c r="G705" s="59"/>
      <c r="H705" s="63"/>
      <c r="I705" s="61">
        <v>110</v>
      </c>
      <c r="J705" s="35"/>
    </row>
    <row r="706" spans="1:10" ht="10.5">
      <c r="A706" s="173">
        <v>256163</v>
      </c>
      <c r="B706" s="57">
        <v>38850</v>
      </c>
      <c r="C706" s="60">
        <v>512000</v>
      </c>
      <c r="D706" s="58">
        <f>VLOOKUP(C706,Comptes!$A$2:$B$60,2,FALSE)</f>
        <v>0</v>
      </c>
      <c r="E706" s="59">
        <v>530000</v>
      </c>
      <c r="F706" s="58">
        <f>VLOOKUP(E706,Comptes!$A$2:$B$60,2,FALSE)</f>
        <v>0</v>
      </c>
      <c r="G706" s="59" t="s">
        <v>164</v>
      </c>
      <c r="H706" s="59" t="s">
        <v>495</v>
      </c>
      <c r="I706" s="61">
        <v>770</v>
      </c>
      <c r="J706" s="35"/>
    </row>
    <row r="707" spans="1:10" ht="10.5">
      <c r="A707" s="173">
        <v>256164</v>
      </c>
      <c r="B707" s="57">
        <v>38850</v>
      </c>
      <c r="C707" s="60">
        <v>606700</v>
      </c>
      <c r="D707" s="58">
        <f>VLOOKUP(C707,Comptes!$A$2:$B$60,2,FALSE)</f>
        <v>0</v>
      </c>
      <c r="E707" s="59">
        <v>530000</v>
      </c>
      <c r="F707" s="58">
        <f>VLOOKUP(E707,Comptes!$A$2:$B$60,2,FALSE)</f>
        <v>0</v>
      </c>
      <c r="G707" s="59"/>
      <c r="H707" s="59"/>
      <c r="I707" s="61">
        <f>22.64+10.6</f>
        <v>33.24</v>
      </c>
      <c r="J707" s="35"/>
    </row>
    <row r="708" spans="1:10" ht="10.5">
      <c r="A708" s="173">
        <v>256164</v>
      </c>
      <c r="B708" s="57">
        <v>38850</v>
      </c>
      <c r="C708" s="60">
        <v>606700</v>
      </c>
      <c r="D708" s="58">
        <f>VLOOKUP(C708,Comptes!$A$2:$B$60,2,FALSE)</f>
        <v>0</v>
      </c>
      <c r="E708" s="59">
        <v>530000</v>
      </c>
      <c r="F708" s="58">
        <f>VLOOKUP(E708,Comptes!$A$2:$B$60,2,FALSE)</f>
        <v>0</v>
      </c>
      <c r="G708" s="59"/>
      <c r="H708" s="59"/>
      <c r="I708" s="61">
        <f>6.45+21.57+7+7.52</f>
        <v>42.53999999999999</v>
      </c>
      <c r="J708" s="35"/>
    </row>
    <row r="709" spans="1:10" ht="10.5">
      <c r="A709" s="173">
        <v>256165</v>
      </c>
      <c r="B709" s="57">
        <v>38852</v>
      </c>
      <c r="C709" s="60">
        <v>626500</v>
      </c>
      <c r="D709" s="58">
        <f>VLOOKUP(C709,Comptes!$A$2:$B$60,2,FALSE)</f>
        <v>0</v>
      </c>
      <c r="E709" s="59">
        <v>512000</v>
      </c>
      <c r="F709" s="58">
        <f>VLOOKUP(E709,Comptes!$A$2:$B$60,2,FALSE)</f>
        <v>0</v>
      </c>
      <c r="G709" s="36" t="s">
        <v>178</v>
      </c>
      <c r="H709" s="59" t="s">
        <v>508</v>
      </c>
      <c r="I709" s="61">
        <v>19.9</v>
      </c>
      <c r="J709" s="35"/>
    </row>
    <row r="710" spans="1:10" ht="10.5">
      <c r="A710" s="173">
        <v>256166</v>
      </c>
      <c r="B710" s="57">
        <v>38839</v>
      </c>
      <c r="C710" s="60">
        <v>512000</v>
      </c>
      <c r="D710" s="58">
        <f>VLOOKUP(C710,Comptes!$A$2:$B$60,2,FALSE)</f>
        <v>0</v>
      </c>
      <c r="E710" s="60">
        <v>754000</v>
      </c>
      <c r="F710" s="58">
        <f>VLOOKUP(E710,Comptes!$A$2:$B$60,2,FALSE)</f>
        <v>0</v>
      </c>
      <c r="G710" s="59" t="s">
        <v>171</v>
      </c>
      <c r="H710" s="59" t="s">
        <v>495</v>
      </c>
      <c r="I710" s="61">
        <v>15.15</v>
      </c>
      <c r="J710" s="64"/>
    </row>
    <row r="711" spans="1:10" ht="10.5">
      <c r="A711" s="173">
        <v>256167</v>
      </c>
      <c r="B711" s="57">
        <v>38846</v>
      </c>
      <c r="C711" s="60">
        <v>512000</v>
      </c>
      <c r="D711" s="58">
        <f>VLOOKUP(C711,Comptes!$A$2:$B$60,2,FALSE)</f>
        <v>0</v>
      </c>
      <c r="E711" s="59">
        <v>706320</v>
      </c>
      <c r="F711" s="58">
        <f>VLOOKUP(E711,Comptes!$A$2:$B$60,2,FALSE)</f>
        <v>0</v>
      </c>
      <c r="G711" s="59" t="s">
        <v>171</v>
      </c>
      <c r="H711" s="59" t="s">
        <v>495</v>
      </c>
      <c r="I711" s="61">
        <v>285</v>
      </c>
      <c r="J711" s="35"/>
    </row>
    <row r="712" spans="1:10" ht="10.5">
      <c r="A712" s="173">
        <v>256168</v>
      </c>
      <c r="B712" s="57">
        <v>38847</v>
      </c>
      <c r="C712" s="60">
        <v>512000</v>
      </c>
      <c r="D712" s="58">
        <f>VLOOKUP(C712,Comptes!$A$2:$B$60,2,FALSE)</f>
        <v>0</v>
      </c>
      <c r="E712" s="59">
        <v>706320</v>
      </c>
      <c r="F712" s="58">
        <f>VLOOKUP(E712,Comptes!$A$2:$B$60,2,FALSE)</f>
        <v>0</v>
      </c>
      <c r="G712" s="59" t="s">
        <v>171</v>
      </c>
      <c r="H712" s="59" t="s">
        <v>495</v>
      </c>
      <c r="I712" s="61">
        <v>276</v>
      </c>
      <c r="J712" s="35"/>
    </row>
    <row r="713" spans="1:10" ht="10.5">
      <c r="A713" s="173">
        <v>256169</v>
      </c>
      <c r="B713" s="57">
        <v>38851</v>
      </c>
      <c r="C713" s="60">
        <v>512000</v>
      </c>
      <c r="D713" s="58">
        <f>VLOOKUP(C713,Comptes!$A$2:$B$60,2,FALSE)</f>
        <v>0</v>
      </c>
      <c r="E713" s="59">
        <v>706220</v>
      </c>
      <c r="F713" s="58">
        <f>VLOOKUP(E713,Comptes!$A$2:$B$60,2,FALSE)</f>
        <v>0</v>
      </c>
      <c r="G713" s="59" t="s">
        <v>170</v>
      </c>
      <c r="H713" s="59" t="s">
        <v>508</v>
      </c>
      <c r="I713" s="61">
        <v>48</v>
      </c>
      <c r="J713" s="35"/>
    </row>
    <row r="714" spans="1:10" ht="10.5">
      <c r="A714" s="173">
        <v>256169</v>
      </c>
      <c r="B714" s="57">
        <v>38851</v>
      </c>
      <c r="C714" s="60">
        <v>530000</v>
      </c>
      <c r="D714" s="58">
        <f>VLOOKUP(C714,Comptes!$A$2:$B$60,2,FALSE)</f>
        <v>0</v>
      </c>
      <c r="E714" s="59">
        <v>706220</v>
      </c>
      <c r="F714" s="58">
        <f>VLOOKUP(E714,Comptes!$A$2:$B$60,2,FALSE)</f>
        <v>0</v>
      </c>
      <c r="G714" s="59"/>
      <c r="H714" s="63"/>
      <c r="I714" s="61">
        <v>62</v>
      </c>
      <c r="J714" s="35"/>
    </row>
    <row r="715" spans="1:10" ht="10.5">
      <c r="A715" s="173">
        <v>256169</v>
      </c>
      <c r="B715" s="57">
        <v>38851</v>
      </c>
      <c r="C715" s="60">
        <v>530000</v>
      </c>
      <c r="D715" s="58">
        <f>VLOOKUP(C715,Comptes!$A$2:$B$60,2,FALSE)</f>
        <v>0</v>
      </c>
      <c r="E715" s="59">
        <v>754000</v>
      </c>
      <c r="F715" s="58">
        <f>VLOOKUP(E715,Comptes!$A$2:$B$60,2,FALSE)</f>
        <v>0</v>
      </c>
      <c r="G715" s="59"/>
      <c r="H715" s="63"/>
      <c r="I715" s="61">
        <v>12</v>
      </c>
      <c r="J715" s="35"/>
    </row>
    <row r="716" spans="1:10" ht="10.5">
      <c r="A716" s="173">
        <v>256170</v>
      </c>
      <c r="B716" s="57">
        <v>38861</v>
      </c>
      <c r="C716" s="60">
        <v>606120</v>
      </c>
      <c r="D716" s="58">
        <f>VLOOKUP(C716,Comptes!$A$2:$B$60,2,FALSE)</f>
        <v>0</v>
      </c>
      <c r="E716" s="59">
        <v>512000</v>
      </c>
      <c r="F716" s="58">
        <f>VLOOKUP(E716,Comptes!$A$2:$B$60,2,FALSE)</f>
        <v>0</v>
      </c>
      <c r="G716" s="59" t="s">
        <v>200</v>
      </c>
      <c r="H716" s="59" t="s">
        <v>509</v>
      </c>
      <c r="I716" s="61">
        <v>350.24</v>
      </c>
      <c r="J716" s="35"/>
    </row>
    <row r="717" spans="1:10" ht="10.5">
      <c r="A717" s="173">
        <v>256171</v>
      </c>
      <c r="B717" s="57">
        <v>38861</v>
      </c>
      <c r="C717" s="60">
        <v>606400</v>
      </c>
      <c r="D717" s="58">
        <f>VLOOKUP(C717,Comptes!$A$2:$B$60,2,FALSE)</f>
        <v>0</v>
      </c>
      <c r="E717" s="59">
        <v>512000</v>
      </c>
      <c r="F717" s="58">
        <f>VLOOKUP(E717,Comptes!$A$2:$B$60,2,FALSE)</f>
        <v>0</v>
      </c>
      <c r="G717" s="59" t="s">
        <v>510</v>
      </c>
      <c r="H717" s="59" t="s">
        <v>508</v>
      </c>
      <c r="I717" s="61">
        <v>79</v>
      </c>
      <c r="J717" s="35"/>
    </row>
    <row r="718" spans="1:10" ht="10.5">
      <c r="A718" s="173">
        <v>256172</v>
      </c>
      <c r="B718" s="57">
        <v>38840</v>
      </c>
      <c r="C718" s="60">
        <v>512000</v>
      </c>
      <c r="D718" s="58">
        <f>VLOOKUP(C718,Comptes!$A$2:$B$60,2,FALSE)</f>
        <v>0</v>
      </c>
      <c r="E718" s="59">
        <v>754000</v>
      </c>
      <c r="F718" s="58">
        <f>VLOOKUP(E718,Comptes!$A$2:$B$60,2,FALSE)</f>
        <v>0</v>
      </c>
      <c r="G718" s="59" t="s">
        <v>171</v>
      </c>
      <c r="H718" s="59" t="s">
        <v>495</v>
      </c>
      <c r="I718" s="61">
        <v>150</v>
      </c>
      <c r="J718" s="64"/>
    </row>
    <row r="719" spans="1:10" ht="10.5">
      <c r="A719" s="173">
        <v>256172</v>
      </c>
      <c r="B719" s="57">
        <v>38847</v>
      </c>
      <c r="C719" s="60">
        <v>512000</v>
      </c>
      <c r="D719" s="58">
        <f>VLOOKUP(C719,Comptes!$A$2:$B$60,2,FALSE)</f>
        <v>0</v>
      </c>
      <c r="E719" s="59">
        <v>754000</v>
      </c>
      <c r="F719" s="58">
        <f>VLOOKUP(E719,Comptes!$A$2:$B$60,2,FALSE)</f>
        <v>0</v>
      </c>
      <c r="G719" s="59" t="s">
        <v>171</v>
      </c>
      <c r="H719" s="59" t="s">
        <v>495</v>
      </c>
      <c r="I719" s="61">
        <v>15</v>
      </c>
      <c r="J719" s="64"/>
    </row>
    <row r="720" spans="1:10" ht="10.5">
      <c r="A720" s="173">
        <v>256172</v>
      </c>
      <c r="B720" s="57">
        <v>38852</v>
      </c>
      <c r="C720" s="59">
        <v>512000</v>
      </c>
      <c r="D720" s="58">
        <f>VLOOKUP(C720,Comptes!$A$2:$B$60,2,FALSE)</f>
        <v>0</v>
      </c>
      <c r="E720" s="60">
        <v>754000</v>
      </c>
      <c r="F720" s="58">
        <f>VLOOKUP(E720,Comptes!$A$2:$B$60,2,FALSE)</f>
        <v>0</v>
      </c>
      <c r="G720" s="59" t="s">
        <v>171</v>
      </c>
      <c r="H720" s="59" t="s">
        <v>495</v>
      </c>
      <c r="I720" s="68">
        <v>30</v>
      </c>
      <c r="J720" s="64"/>
    </row>
    <row r="721" spans="1:10" ht="10.5">
      <c r="A721" s="181">
        <v>256174</v>
      </c>
      <c r="B721" s="48">
        <v>38860</v>
      </c>
      <c r="C721" s="51">
        <v>512000</v>
      </c>
      <c r="D721" s="58">
        <f>VLOOKUP(C721,Comptes!$A$2:$B$60,2,FALSE)</f>
        <v>0</v>
      </c>
      <c r="E721" s="49">
        <v>511200</v>
      </c>
      <c r="F721" s="58">
        <f>VLOOKUP(E721,Comptes!$A$2:$B$60,2,FALSE)</f>
        <v>0</v>
      </c>
      <c r="G721" s="49" t="s">
        <v>170</v>
      </c>
      <c r="H721" s="59" t="s">
        <v>508</v>
      </c>
      <c r="I721" s="52">
        <v>118</v>
      </c>
      <c r="J721" s="67"/>
    </row>
    <row r="722" spans="1:10" ht="10.5">
      <c r="A722" s="181">
        <v>256174</v>
      </c>
      <c r="B722" s="48">
        <v>38860</v>
      </c>
      <c r="C722" s="51">
        <v>512000</v>
      </c>
      <c r="D722" s="58">
        <f>VLOOKUP(C722,Comptes!$A$2:$B$60,2,FALSE)</f>
        <v>0</v>
      </c>
      <c r="E722" s="49">
        <v>511200</v>
      </c>
      <c r="F722" s="58">
        <f>VLOOKUP(E722,Comptes!$A$2:$B$60,2,FALSE)</f>
        <v>0</v>
      </c>
      <c r="G722" s="49" t="s">
        <v>170</v>
      </c>
      <c r="H722" s="59" t="s">
        <v>508</v>
      </c>
      <c r="I722" s="52">
        <v>220</v>
      </c>
      <c r="J722" s="67"/>
    </row>
    <row r="723" spans="1:10" ht="10.5">
      <c r="A723" s="173">
        <v>256174</v>
      </c>
      <c r="B723" s="57">
        <v>38860</v>
      </c>
      <c r="C723" s="59">
        <v>512000</v>
      </c>
      <c r="D723" s="58">
        <f>VLOOKUP(C723,Comptes!$A$2:$B$60,2,FALSE)</f>
        <v>0</v>
      </c>
      <c r="E723" s="60">
        <v>754000</v>
      </c>
      <c r="F723" s="58">
        <f>VLOOKUP(E723,Comptes!$A$2:$B$60,2,FALSE)</f>
        <v>0</v>
      </c>
      <c r="G723" s="36" t="s">
        <v>170</v>
      </c>
      <c r="H723" s="59" t="s">
        <v>508</v>
      </c>
      <c r="I723" s="68">
        <v>1500</v>
      </c>
      <c r="J723" s="35"/>
    </row>
    <row r="724" spans="1:10" ht="10.5">
      <c r="A724" s="173">
        <v>256175</v>
      </c>
      <c r="B724" s="57">
        <v>38866</v>
      </c>
      <c r="C724" s="59">
        <v>626000</v>
      </c>
      <c r="D724" s="58">
        <f>VLOOKUP(C724,Comptes!$A$2:$B$60,2,FALSE)</f>
        <v>0</v>
      </c>
      <c r="E724" s="60">
        <v>530000</v>
      </c>
      <c r="F724" s="58">
        <f>VLOOKUP(E724,Comptes!$A$2:$B$60,2,FALSE)</f>
        <v>0</v>
      </c>
      <c r="G724" s="59"/>
      <c r="H724" s="63"/>
      <c r="I724" s="68">
        <v>70.2</v>
      </c>
      <c r="J724" s="64"/>
    </row>
    <row r="725" spans="1:10" ht="10.5">
      <c r="A725" s="173">
        <v>256176</v>
      </c>
      <c r="B725" s="57">
        <v>38867</v>
      </c>
      <c r="C725" s="60">
        <v>641000</v>
      </c>
      <c r="D725" s="58">
        <f>VLOOKUP(C725,Comptes!$A$2:$B$60,2,FALSE)</f>
        <v>0</v>
      </c>
      <c r="E725" s="62">
        <v>512000</v>
      </c>
      <c r="F725" s="58">
        <f>VLOOKUP(E725,Comptes!$A$2:$B$60,2,FALSE)</f>
        <v>0</v>
      </c>
      <c r="G725" s="59" t="s">
        <v>511</v>
      </c>
      <c r="H725" s="59" t="s">
        <v>509</v>
      </c>
      <c r="I725" s="61">
        <v>1334.49</v>
      </c>
      <c r="J725" s="66"/>
    </row>
    <row r="726" spans="1:10" ht="10.5">
      <c r="A726" s="173">
        <v>256176</v>
      </c>
      <c r="B726" s="57">
        <v>38867</v>
      </c>
      <c r="C726" s="60">
        <v>613100</v>
      </c>
      <c r="D726" s="58">
        <f>VLOOKUP(C726,Comptes!$A$2:$B$60,2,FALSE)</f>
        <v>0</v>
      </c>
      <c r="E726" s="62">
        <v>512000</v>
      </c>
      <c r="F726" s="58">
        <f>VLOOKUP(E726,Comptes!$A$2:$B$60,2,FALSE)</f>
        <v>0</v>
      </c>
      <c r="G726" s="59" t="s">
        <v>512</v>
      </c>
      <c r="H726" s="59" t="s">
        <v>513</v>
      </c>
      <c r="I726" s="61">
        <v>835</v>
      </c>
      <c r="J726" s="66"/>
    </row>
    <row r="727" spans="1:10" ht="10.5">
      <c r="A727" s="173">
        <v>256176</v>
      </c>
      <c r="B727" s="57">
        <v>38867</v>
      </c>
      <c r="C727" s="60">
        <v>625000</v>
      </c>
      <c r="D727" s="58">
        <f>VLOOKUP(C727,Comptes!$A$2:$B$60,2,FALSE)</f>
        <v>0</v>
      </c>
      <c r="E727" s="62">
        <v>512000</v>
      </c>
      <c r="F727" s="58">
        <f>VLOOKUP(E727,Comptes!$A$2:$B$60,2,FALSE)</f>
        <v>0</v>
      </c>
      <c r="G727" s="59" t="s">
        <v>512</v>
      </c>
      <c r="H727" s="59" t="s">
        <v>513</v>
      </c>
      <c r="I727" s="61">
        <v>40</v>
      </c>
      <c r="J727" s="66"/>
    </row>
    <row r="728" spans="1:10" ht="10.5">
      <c r="A728" s="173">
        <v>256177</v>
      </c>
      <c r="B728" s="57">
        <v>38855</v>
      </c>
      <c r="C728" s="59">
        <v>512000</v>
      </c>
      <c r="D728" s="58">
        <f>VLOOKUP(C728,Comptes!$A$2:$B$60,2,FALSE)</f>
        <v>0</v>
      </c>
      <c r="E728" s="60">
        <v>706420</v>
      </c>
      <c r="F728" s="58">
        <f>VLOOKUP(E728,Comptes!$A$2:$B$60,2,FALSE)</f>
        <v>0</v>
      </c>
      <c r="G728" s="36" t="s">
        <v>170</v>
      </c>
      <c r="H728" s="59" t="s">
        <v>508</v>
      </c>
      <c r="I728" s="68">
        <v>380</v>
      </c>
      <c r="J728" s="64"/>
    </row>
    <row r="729" spans="1:10" ht="10.5">
      <c r="A729" s="173">
        <v>256177</v>
      </c>
      <c r="B729" s="57">
        <v>38855</v>
      </c>
      <c r="C729" s="59">
        <v>512000</v>
      </c>
      <c r="D729" s="58">
        <f>VLOOKUP(C729,Comptes!$A$2:$B$60,2,FALSE)</f>
        <v>0</v>
      </c>
      <c r="E729" s="60">
        <v>706100</v>
      </c>
      <c r="F729" s="58">
        <f>VLOOKUP(E729,Comptes!$A$2:$B$60,2,FALSE)</f>
        <v>0</v>
      </c>
      <c r="G729" s="36" t="s">
        <v>164</v>
      </c>
      <c r="H729" s="59" t="s">
        <v>508</v>
      </c>
      <c r="I729" s="68">
        <v>240</v>
      </c>
      <c r="J729" s="64"/>
    </row>
    <row r="730" spans="1:10" ht="10.5">
      <c r="A730" s="173">
        <v>256177</v>
      </c>
      <c r="B730" s="57">
        <v>38855</v>
      </c>
      <c r="C730" s="59">
        <v>512000</v>
      </c>
      <c r="D730" s="58">
        <f>VLOOKUP(C730,Comptes!$A$2:$B$60,2,FALSE)</f>
        <v>0</v>
      </c>
      <c r="E730" s="60">
        <v>706420</v>
      </c>
      <c r="F730" s="58">
        <f>VLOOKUP(E730,Comptes!$A$2:$B$60,2,FALSE)</f>
        <v>0</v>
      </c>
      <c r="G730" s="36" t="s">
        <v>164</v>
      </c>
      <c r="H730" s="59" t="s">
        <v>508</v>
      </c>
      <c r="I730" s="68">
        <v>90</v>
      </c>
      <c r="J730" s="64"/>
    </row>
    <row r="731" spans="1:10" ht="10.5">
      <c r="A731" s="173">
        <v>256177</v>
      </c>
      <c r="B731" s="57">
        <v>38855</v>
      </c>
      <c r="C731" s="59">
        <v>512000</v>
      </c>
      <c r="D731" s="58">
        <f>VLOOKUP(C731,Comptes!$A$2:$B$60,2,FALSE)</f>
        <v>0</v>
      </c>
      <c r="E731" s="60">
        <v>754000</v>
      </c>
      <c r="F731" s="58">
        <f>VLOOKUP(E731,Comptes!$A$2:$B$60,2,FALSE)</f>
        <v>0</v>
      </c>
      <c r="G731" s="36" t="s">
        <v>164</v>
      </c>
      <c r="H731" s="59" t="s">
        <v>508</v>
      </c>
      <c r="I731" s="68">
        <v>20</v>
      </c>
      <c r="J731" s="64"/>
    </row>
    <row r="732" spans="1:10" ht="10.5">
      <c r="A732" s="173">
        <v>256178</v>
      </c>
      <c r="B732" s="57">
        <v>38870</v>
      </c>
      <c r="C732" s="59">
        <v>615000</v>
      </c>
      <c r="D732" s="58">
        <f>VLOOKUP(C732,Comptes!$A$2:$B$60,2,FALSE)</f>
        <v>0</v>
      </c>
      <c r="E732" s="60">
        <v>512000</v>
      </c>
      <c r="F732" s="58">
        <f>VLOOKUP(E732,Comptes!$A$2:$B$60,2,FALSE)</f>
        <v>0</v>
      </c>
      <c r="G732" s="59" t="s">
        <v>514</v>
      </c>
      <c r="H732" s="59" t="s">
        <v>509</v>
      </c>
      <c r="I732" s="68">
        <v>33.2</v>
      </c>
      <c r="J732" s="35"/>
    </row>
    <row r="733" spans="1:10" ht="10.5">
      <c r="A733" s="173">
        <v>256178</v>
      </c>
      <c r="B733" s="57">
        <v>38870</v>
      </c>
      <c r="C733" s="59">
        <v>615000</v>
      </c>
      <c r="D733" s="58">
        <f>VLOOKUP(C733,Comptes!$A$2:$B$60,2,FALSE)</f>
        <v>0</v>
      </c>
      <c r="E733" s="60">
        <v>530000</v>
      </c>
      <c r="F733" s="58">
        <f>VLOOKUP(E733,Comptes!$A$2:$B$60,2,FALSE)</f>
        <v>0</v>
      </c>
      <c r="G733" s="59"/>
      <c r="H733" s="63"/>
      <c r="I733" s="68">
        <v>20</v>
      </c>
      <c r="J733" s="64"/>
    </row>
    <row r="734" spans="1:10" ht="10.5">
      <c r="A734" s="173">
        <v>256178</v>
      </c>
      <c r="B734" s="57">
        <v>38870</v>
      </c>
      <c r="C734" s="59">
        <v>606700</v>
      </c>
      <c r="D734" s="58">
        <f>VLOOKUP(C734,Comptes!$A$2:$B$60,2,FALSE)</f>
        <v>0</v>
      </c>
      <c r="E734" s="60">
        <v>512000</v>
      </c>
      <c r="F734" s="58">
        <f>VLOOKUP(E734,Comptes!$A$2:$B$60,2,FALSE)</f>
        <v>0</v>
      </c>
      <c r="G734" s="59" t="s">
        <v>515</v>
      </c>
      <c r="H734" s="59" t="s">
        <v>509</v>
      </c>
      <c r="I734" s="68">
        <v>79.4</v>
      </c>
      <c r="J734" s="64"/>
    </row>
    <row r="735" spans="1:10" ht="10.5">
      <c r="A735" s="173">
        <v>256178</v>
      </c>
      <c r="B735" s="57">
        <v>38870</v>
      </c>
      <c r="C735" s="59">
        <v>606700</v>
      </c>
      <c r="D735" s="58">
        <f>VLOOKUP(C735,Comptes!$A$2:$B$60,2,FALSE)</f>
        <v>0</v>
      </c>
      <c r="E735" s="60">
        <v>512000</v>
      </c>
      <c r="F735" s="58">
        <f>VLOOKUP(E735,Comptes!$A$2:$B$60,2,FALSE)</f>
        <v>0</v>
      </c>
      <c r="G735" s="59" t="s">
        <v>516</v>
      </c>
      <c r="H735" s="59" t="s">
        <v>509</v>
      </c>
      <c r="I735" s="68">
        <v>20.9</v>
      </c>
      <c r="J735" s="64"/>
    </row>
    <row r="736" spans="1:10" ht="10.5">
      <c r="A736" s="173">
        <v>256178</v>
      </c>
      <c r="B736" s="57">
        <v>38870</v>
      </c>
      <c r="C736" s="59">
        <v>606700</v>
      </c>
      <c r="D736" s="58">
        <f>VLOOKUP(C736,Comptes!$A$2:$B$60,2,FALSE)</f>
        <v>0</v>
      </c>
      <c r="E736" s="60">
        <v>512000</v>
      </c>
      <c r="F736" s="58">
        <f>VLOOKUP(E736,Comptes!$A$2:$B$60,2,FALSE)</f>
        <v>0</v>
      </c>
      <c r="G736" s="59" t="s">
        <v>517</v>
      </c>
      <c r="H736" s="59" t="s">
        <v>509</v>
      </c>
      <c r="I736" s="68">
        <v>148.42</v>
      </c>
      <c r="J736" s="64"/>
    </row>
    <row r="737" spans="1:10" ht="10.5">
      <c r="A737" s="173">
        <v>256178</v>
      </c>
      <c r="B737" s="57">
        <v>38870</v>
      </c>
      <c r="C737" s="59">
        <v>606700</v>
      </c>
      <c r="D737" s="58">
        <f>VLOOKUP(C737,Comptes!$A$2:$B$60,2,FALSE)</f>
        <v>0</v>
      </c>
      <c r="E737" s="60">
        <v>530000</v>
      </c>
      <c r="F737" s="58">
        <f>VLOOKUP(E737,Comptes!$A$2:$B$60,2,FALSE)</f>
        <v>0</v>
      </c>
      <c r="G737" s="59"/>
      <c r="H737" s="63"/>
      <c r="I737" s="68">
        <v>8</v>
      </c>
      <c r="J737" s="64"/>
    </row>
    <row r="738" spans="1:10" ht="10.5">
      <c r="A738" s="173">
        <v>256179</v>
      </c>
      <c r="B738" s="57">
        <v>38870</v>
      </c>
      <c r="C738" s="60">
        <v>616000</v>
      </c>
      <c r="D738" s="58">
        <f>VLOOKUP(C738,Comptes!$A$2:$B$60,2,FALSE)</f>
        <v>0</v>
      </c>
      <c r="E738" s="62">
        <v>512000</v>
      </c>
      <c r="F738" s="58">
        <f>VLOOKUP(E738,Comptes!$A$2:$B$60,2,FALSE)</f>
        <v>0</v>
      </c>
      <c r="G738" s="59" t="s">
        <v>200</v>
      </c>
      <c r="H738" s="59" t="s">
        <v>509</v>
      </c>
      <c r="I738" s="68">
        <v>319.97</v>
      </c>
      <c r="J738" s="64"/>
    </row>
    <row r="739" spans="1:10" ht="10.5">
      <c r="A739" s="173">
        <v>256180</v>
      </c>
      <c r="B739" s="57">
        <v>38881</v>
      </c>
      <c r="C739" s="60">
        <v>606110</v>
      </c>
      <c r="D739" s="58">
        <f>VLOOKUP(C739,Comptes!$A$2:$B$60,2,FALSE)</f>
        <v>0</v>
      </c>
      <c r="E739" s="62">
        <v>512000</v>
      </c>
      <c r="F739" s="58">
        <f>VLOOKUP(E739,Comptes!$A$2:$B$60,2,FALSE)</f>
        <v>0</v>
      </c>
      <c r="G739" s="36" t="s">
        <v>178</v>
      </c>
      <c r="H739" s="59" t="s">
        <v>509</v>
      </c>
      <c r="I739" s="68">
        <v>79.61</v>
      </c>
      <c r="J739" s="35"/>
    </row>
    <row r="740" spans="1:10" ht="10.5">
      <c r="A740" s="173">
        <v>256181</v>
      </c>
      <c r="B740" s="57">
        <v>38872</v>
      </c>
      <c r="C740" s="60">
        <v>625000</v>
      </c>
      <c r="D740" s="58">
        <f>VLOOKUP(C740,Comptes!$A$2:$B$60,2,FALSE)</f>
        <v>0</v>
      </c>
      <c r="E740" s="62">
        <v>530000</v>
      </c>
      <c r="F740" s="58">
        <f>VLOOKUP(E740,Comptes!$A$2:$B$60,2,FALSE)</f>
        <v>0</v>
      </c>
      <c r="G740" s="59"/>
      <c r="H740" s="63"/>
      <c r="I740" s="68">
        <v>337.92</v>
      </c>
      <c r="J740" s="35"/>
    </row>
    <row r="741" spans="1:10" ht="10.5">
      <c r="A741" s="173">
        <v>256181</v>
      </c>
      <c r="B741" s="57">
        <v>38872</v>
      </c>
      <c r="C741" s="60">
        <v>615000</v>
      </c>
      <c r="D741" s="58">
        <f>VLOOKUP(C741,Comptes!$A$2:$B$60,2,FALSE)</f>
        <v>0</v>
      </c>
      <c r="E741" s="62">
        <v>512000</v>
      </c>
      <c r="F741" s="58">
        <f>VLOOKUP(E741,Comptes!$A$2:$B$60,2,FALSE)</f>
        <v>0</v>
      </c>
      <c r="G741" s="59" t="s">
        <v>518</v>
      </c>
      <c r="H741" s="59" t="s">
        <v>509</v>
      </c>
      <c r="I741" s="68">
        <v>380</v>
      </c>
      <c r="J741" s="35"/>
    </row>
    <row r="742" spans="1:10" ht="10.5">
      <c r="A742" s="173">
        <v>256182</v>
      </c>
      <c r="B742" s="57">
        <v>38868</v>
      </c>
      <c r="C742" s="60">
        <v>512000</v>
      </c>
      <c r="D742" s="58">
        <f>VLOOKUP(C742,Comptes!$A$2:$B$60,2,FALSE)</f>
        <v>0</v>
      </c>
      <c r="E742" s="60">
        <v>754000</v>
      </c>
      <c r="F742" s="58">
        <f>VLOOKUP(E742,Comptes!$A$2:$B$60,2,FALSE)</f>
        <v>0</v>
      </c>
      <c r="G742" s="59" t="s">
        <v>171</v>
      </c>
      <c r="H742" s="59" t="s">
        <v>508</v>
      </c>
      <c r="I742" s="61">
        <v>15.15</v>
      </c>
      <c r="J742" s="64"/>
    </row>
    <row r="743" spans="1:10" ht="10.5">
      <c r="A743" s="173">
        <v>256182</v>
      </c>
      <c r="B743" s="57">
        <v>38861</v>
      </c>
      <c r="C743" s="60">
        <v>627000</v>
      </c>
      <c r="D743" s="58">
        <f>VLOOKUP(C743,Comptes!$A$2:$B$60,2,FALSE)</f>
        <v>0</v>
      </c>
      <c r="E743" s="62">
        <v>512000</v>
      </c>
      <c r="F743" s="58">
        <f>VLOOKUP(E743,Comptes!$A$2:$B$60,2,FALSE)</f>
        <v>0</v>
      </c>
      <c r="G743" s="36" t="s">
        <v>178</v>
      </c>
      <c r="H743" s="59" t="s">
        <v>508</v>
      </c>
      <c r="I743" s="68">
        <v>23</v>
      </c>
      <c r="J743" s="64"/>
    </row>
    <row r="744" spans="1:10" ht="10.5">
      <c r="A744" s="173">
        <v>256183</v>
      </c>
      <c r="B744" s="57">
        <v>38873</v>
      </c>
      <c r="C744" s="60">
        <v>512000</v>
      </c>
      <c r="D744" s="58">
        <f>VLOOKUP(C744,Comptes!$A$2:$B$60,2,FALSE)</f>
        <v>0</v>
      </c>
      <c r="E744" s="60">
        <v>706210</v>
      </c>
      <c r="F744" s="58">
        <f>VLOOKUP(E744,Comptes!$A$2:$B$60,2,FALSE)</f>
        <v>0</v>
      </c>
      <c r="G744" s="36" t="s">
        <v>170</v>
      </c>
      <c r="H744" s="59" t="s">
        <v>509</v>
      </c>
      <c r="I744" s="68">
        <v>30</v>
      </c>
      <c r="J744" s="174"/>
    </row>
    <row r="745" spans="1:10" ht="10.5">
      <c r="A745" s="173">
        <v>256183</v>
      </c>
      <c r="B745" s="57">
        <v>38873</v>
      </c>
      <c r="C745" s="60">
        <v>512000</v>
      </c>
      <c r="D745" s="58">
        <f>VLOOKUP(C745,Comptes!$A$2:$B$60,2,FALSE)</f>
        <v>0</v>
      </c>
      <c r="E745" s="60">
        <v>706220</v>
      </c>
      <c r="F745" s="58">
        <f>VLOOKUP(E745,Comptes!$A$2:$B$60,2,FALSE)</f>
        <v>0</v>
      </c>
      <c r="G745" s="36" t="s">
        <v>170</v>
      </c>
      <c r="H745" s="59" t="s">
        <v>509</v>
      </c>
      <c r="I745" s="68">
        <v>114</v>
      </c>
      <c r="J745" s="64"/>
    </row>
    <row r="746" spans="1:10" ht="10.5">
      <c r="A746" s="173">
        <v>256183</v>
      </c>
      <c r="B746" s="57">
        <v>38873</v>
      </c>
      <c r="C746" s="60">
        <v>512000</v>
      </c>
      <c r="D746" s="58">
        <f>VLOOKUP(C746,Comptes!$A$2:$B$60,2,FALSE)</f>
        <v>0</v>
      </c>
      <c r="E746" s="60">
        <v>706230</v>
      </c>
      <c r="F746" s="58">
        <f>VLOOKUP(E746,Comptes!$A$2:$B$60,2,FALSE)</f>
        <v>0</v>
      </c>
      <c r="G746" s="36" t="s">
        <v>170</v>
      </c>
      <c r="H746" s="59" t="s">
        <v>509</v>
      </c>
      <c r="I746" s="68">
        <v>270</v>
      </c>
      <c r="J746" s="64"/>
    </row>
    <row r="747" spans="1:10" ht="10.5">
      <c r="A747" s="180">
        <v>256186</v>
      </c>
      <c r="B747" s="70">
        <v>38873</v>
      </c>
      <c r="C747" s="71">
        <v>511200</v>
      </c>
      <c r="D747" s="58">
        <f>VLOOKUP(C747,Comptes!$A$2:$B$60,2,FALSE)</f>
        <v>0</v>
      </c>
      <c r="E747" s="73">
        <v>512000</v>
      </c>
      <c r="F747" s="58">
        <f>VLOOKUP(E747,Comptes!$A$2:$B$60,2,FALSE)</f>
        <v>0</v>
      </c>
      <c r="G747" s="63" t="s">
        <v>170</v>
      </c>
      <c r="H747" s="63" t="s">
        <v>509</v>
      </c>
      <c r="I747" s="182">
        <v>114</v>
      </c>
      <c r="J747" s="55"/>
    </row>
    <row r="748" spans="1:10" ht="10.5">
      <c r="A748" s="173">
        <v>256186</v>
      </c>
      <c r="B748" s="57">
        <v>38873</v>
      </c>
      <c r="C748" s="62">
        <v>512000</v>
      </c>
      <c r="D748" s="58">
        <f>VLOOKUP(C748,Comptes!$A$2:$B$60,2,FALSE)</f>
        <v>0</v>
      </c>
      <c r="E748" s="60">
        <v>756000</v>
      </c>
      <c r="F748" s="58">
        <f>VLOOKUP(E748,Comptes!$A$2:$B$60,2,FALSE)</f>
        <v>0</v>
      </c>
      <c r="G748" s="36" t="s">
        <v>170</v>
      </c>
      <c r="H748" s="59" t="s">
        <v>509</v>
      </c>
      <c r="I748" s="68">
        <v>96</v>
      </c>
      <c r="J748" s="64"/>
    </row>
    <row r="749" spans="1:10" ht="10.5">
      <c r="A749" s="173">
        <v>256186</v>
      </c>
      <c r="B749" s="57">
        <v>38873</v>
      </c>
      <c r="C749" s="62">
        <v>512000</v>
      </c>
      <c r="D749" s="58">
        <f>VLOOKUP(C749,Comptes!$A$2:$B$60,2,FALSE)</f>
        <v>0</v>
      </c>
      <c r="E749" s="60">
        <v>708000</v>
      </c>
      <c r="F749" s="58">
        <f>VLOOKUP(E749,Comptes!$A$2:$B$60,2,FALSE)</f>
        <v>0</v>
      </c>
      <c r="G749" s="36" t="s">
        <v>170</v>
      </c>
      <c r="H749" s="59" t="s">
        <v>509</v>
      </c>
      <c r="I749" s="68">
        <v>8</v>
      </c>
      <c r="J749" s="64"/>
    </row>
    <row r="750" spans="1:10" ht="10.5">
      <c r="A750" s="173">
        <v>256183</v>
      </c>
      <c r="B750" s="57">
        <v>38873</v>
      </c>
      <c r="C750" s="62">
        <v>530000</v>
      </c>
      <c r="D750" s="58">
        <f>VLOOKUP(C750,Comptes!$A$2:$B$60,2,FALSE)</f>
        <v>0</v>
      </c>
      <c r="E750" s="60">
        <v>706210</v>
      </c>
      <c r="F750" s="58">
        <f>VLOOKUP(E750,Comptes!$A$2:$B$60,2,FALSE)</f>
        <v>0</v>
      </c>
      <c r="G750" s="36"/>
      <c r="H750" s="63"/>
      <c r="I750" s="68">
        <v>60</v>
      </c>
      <c r="J750" s="64"/>
    </row>
    <row r="751" spans="1:10" ht="10.5">
      <c r="A751" s="173">
        <v>256183</v>
      </c>
      <c r="B751" s="57">
        <v>38873</v>
      </c>
      <c r="C751" s="62">
        <v>530000</v>
      </c>
      <c r="D751" s="58">
        <f>VLOOKUP(C751,Comptes!$A$2:$B$60,2,FALSE)</f>
        <v>0</v>
      </c>
      <c r="E751" s="60">
        <v>706220</v>
      </c>
      <c r="F751" s="58">
        <f>VLOOKUP(E751,Comptes!$A$2:$B$60,2,FALSE)</f>
        <v>0</v>
      </c>
      <c r="G751" s="36"/>
      <c r="H751" s="63"/>
      <c r="I751" s="68">
        <v>48</v>
      </c>
      <c r="J751" s="64"/>
    </row>
    <row r="752" spans="1:10" ht="10.5">
      <c r="A752" s="173">
        <v>256183</v>
      </c>
      <c r="B752" s="57">
        <v>38873</v>
      </c>
      <c r="C752" s="62">
        <v>530000</v>
      </c>
      <c r="D752" s="58">
        <f>VLOOKUP(C752,Comptes!$A$2:$B$60,2,FALSE)</f>
        <v>0</v>
      </c>
      <c r="E752" s="60">
        <v>706230</v>
      </c>
      <c r="F752" s="58">
        <f>VLOOKUP(E752,Comptes!$A$2:$B$60,2,FALSE)</f>
        <v>0</v>
      </c>
      <c r="G752" s="36"/>
      <c r="H752" s="63"/>
      <c r="I752" s="68">
        <v>160</v>
      </c>
      <c r="J752" s="64"/>
    </row>
    <row r="753" spans="1:10" ht="10.5">
      <c r="A753" s="173">
        <v>256184</v>
      </c>
      <c r="B753" s="57">
        <v>38875</v>
      </c>
      <c r="C753" s="60">
        <v>641000</v>
      </c>
      <c r="D753" s="58">
        <f>VLOOKUP(C753,Comptes!$A$2:$B$60,2,FALSE)</f>
        <v>0</v>
      </c>
      <c r="E753" s="62">
        <v>512000</v>
      </c>
      <c r="F753" s="58">
        <f>VLOOKUP(E753,Comptes!$A$2:$B$60,2,FALSE)</f>
        <v>0</v>
      </c>
      <c r="G753" s="59" t="s">
        <v>519</v>
      </c>
      <c r="H753" s="59" t="s">
        <v>513</v>
      </c>
      <c r="I753" s="61">
        <v>667.24</v>
      </c>
      <c r="J753" s="66"/>
    </row>
    <row r="754" spans="1:10" ht="10.5">
      <c r="A754" s="173">
        <v>256184</v>
      </c>
      <c r="B754" s="57">
        <v>38875</v>
      </c>
      <c r="C754" s="60">
        <v>641000</v>
      </c>
      <c r="D754" s="58">
        <f>VLOOKUP(C754,Comptes!$A$2:$B$60,2,FALSE)</f>
        <v>0</v>
      </c>
      <c r="E754" s="62">
        <v>512000</v>
      </c>
      <c r="F754" s="58">
        <f>VLOOKUP(E754,Comptes!$A$2:$B$60,2,FALSE)</f>
        <v>0</v>
      </c>
      <c r="G754" s="59" t="s">
        <v>519</v>
      </c>
      <c r="H754" s="59" t="s">
        <v>513</v>
      </c>
      <c r="I754" s="61">
        <v>1668.13</v>
      </c>
      <c r="J754" s="66"/>
    </row>
    <row r="755" spans="1:10" ht="10.5">
      <c r="A755" s="173">
        <v>256184</v>
      </c>
      <c r="B755" s="57">
        <v>38875</v>
      </c>
      <c r="C755" s="60">
        <v>641000</v>
      </c>
      <c r="D755" s="58">
        <f>VLOOKUP(C755,Comptes!$A$2:$B$60,2,FALSE)</f>
        <v>0</v>
      </c>
      <c r="E755" s="62">
        <v>512000</v>
      </c>
      <c r="F755" s="58">
        <f>VLOOKUP(E755,Comptes!$A$2:$B$60,2,FALSE)</f>
        <v>0</v>
      </c>
      <c r="G755" s="59" t="s">
        <v>519</v>
      </c>
      <c r="H755" s="59" t="s">
        <v>513</v>
      </c>
      <c r="I755" s="61">
        <f>ROUND((9+4/12)*0.2*1700,2)</f>
        <v>3173.33</v>
      </c>
      <c r="J755" s="66"/>
    </row>
    <row r="756" spans="1:10" ht="10.5">
      <c r="A756" s="173">
        <v>256185</v>
      </c>
      <c r="B756" s="57">
        <v>38876</v>
      </c>
      <c r="C756" s="60">
        <v>606700</v>
      </c>
      <c r="D756" s="58">
        <f>VLOOKUP(C756,Comptes!$A$2:$B$60,2,FALSE)</f>
        <v>0</v>
      </c>
      <c r="E756" s="62">
        <v>512000</v>
      </c>
      <c r="F756" s="58">
        <f>VLOOKUP(E756,Comptes!$A$2:$B$60,2,FALSE)</f>
        <v>0</v>
      </c>
      <c r="G756" s="59" t="s">
        <v>520</v>
      </c>
      <c r="H756" s="59" t="s">
        <v>513</v>
      </c>
      <c r="I756" s="68">
        <v>189.31</v>
      </c>
      <c r="J756" s="35"/>
    </row>
    <row r="757" spans="1:10" ht="10.5">
      <c r="A757" s="173">
        <v>256186</v>
      </c>
      <c r="B757" s="57">
        <v>38876</v>
      </c>
      <c r="C757" s="60">
        <v>615000</v>
      </c>
      <c r="D757" s="58">
        <f>VLOOKUP(C757,Comptes!$A$2:$B$60,2,FALSE)</f>
        <v>0</v>
      </c>
      <c r="E757" s="62">
        <v>512000</v>
      </c>
      <c r="F757" s="58">
        <f>VLOOKUP(E757,Comptes!$A$2:$B$60,2,FALSE)</f>
        <v>0</v>
      </c>
      <c r="G757" s="59" t="s">
        <v>521</v>
      </c>
      <c r="H757" s="59" t="s">
        <v>509</v>
      </c>
      <c r="I757" s="68">
        <v>33.97</v>
      </c>
      <c r="J757" s="35"/>
    </row>
    <row r="758" spans="1:10" ht="10.5">
      <c r="A758" s="173">
        <v>256187</v>
      </c>
      <c r="B758" s="57">
        <v>38877</v>
      </c>
      <c r="C758" s="60">
        <v>606700</v>
      </c>
      <c r="D758" s="58">
        <f>VLOOKUP(C758,Comptes!$A$2:$B$60,2,FALSE)</f>
        <v>0</v>
      </c>
      <c r="E758" s="62">
        <v>512000</v>
      </c>
      <c r="F758" s="58">
        <f>VLOOKUP(E758,Comptes!$A$2:$B$60,2,FALSE)</f>
        <v>0</v>
      </c>
      <c r="G758" s="59" t="s">
        <v>522</v>
      </c>
      <c r="H758" s="59" t="s">
        <v>509</v>
      </c>
      <c r="I758" s="68">
        <v>13.59</v>
      </c>
      <c r="J758" s="35"/>
    </row>
    <row r="759" spans="1:10" ht="10.5">
      <c r="A759" s="173">
        <v>256187</v>
      </c>
      <c r="B759" s="57">
        <v>38877</v>
      </c>
      <c r="C759" s="60">
        <v>606700</v>
      </c>
      <c r="D759" s="58">
        <f>VLOOKUP(C759,Comptes!$A$2:$B$60,2,FALSE)</f>
        <v>0</v>
      </c>
      <c r="E759" s="62">
        <v>512000</v>
      </c>
      <c r="F759" s="58">
        <f>VLOOKUP(E759,Comptes!$A$2:$B$60,2,FALSE)</f>
        <v>0</v>
      </c>
      <c r="G759" s="59" t="s">
        <v>523</v>
      </c>
      <c r="H759" s="59" t="s">
        <v>509</v>
      </c>
      <c r="I759" s="68">
        <v>218.34</v>
      </c>
      <c r="J759" s="35"/>
    </row>
    <row r="760" spans="1:10" ht="10.5">
      <c r="A760" s="173">
        <v>256187</v>
      </c>
      <c r="B760" s="57">
        <v>38877</v>
      </c>
      <c r="C760" s="60">
        <v>606700</v>
      </c>
      <c r="D760" s="58">
        <f>VLOOKUP(C760,Comptes!$A$2:$B$60,2,FALSE)</f>
        <v>0</v>
      </c>
      <c r="E760" s="62">
        <v>530000</v>
      </c>
      <c r="F760" s="58">
        <f>VLOOKUP(E760,Comptes!$A$2:$B$60,2,FALSE)</f>
        <v>0</v>
      </c>
      <c r="G760" s="59"/>
      <c r="H760" s="63"/>
      <c r="I760" s="68">
        <v>6.4</v>
      </c>
      <c r="J760" s="35"/>
    </row>
    <row r="761" spans="1:10" ht="10.5">
      <c r="A761" s="173">
        <v>256187</v>
      </c>
      <c r="B761" s="57">
        <v>38877</v>
      </c>
      <c r="C761" s="60">
        <v>625000</v>
      </c>
      <c r="D761" s="58">
        <f>VLOOKUP(C761,Comptes!$A$2:$B$60,2,FALSE)</f>
        <v>0</v>
      </c>
      <c r="E761" s="62">
        <v>512000</v>
      </c>
      <c r="F761" s="58">
        <f>VLOOKUP(E761,Comptes!$A$2:$B$60,2,FALSE)</f>
        <v>0</v>
      </c>
      <c r="G761" s="59" t="s">
        <v>524</v>
      </c>
      <c r="H761" s="59" t="s">
        <v>513</v>
      </c>
      <c r="I761" s="68">
        <v>144.9</v>
      </c>
      <c r="J761" s="35"/>
    </row>
    <row r="762" spans="1:10" ht="10.5">
      <c r="A762" s="173">
        <v>256187</v>
      </c>
      <c r="B762" s="57">
        <v>38877</v>
      </c>
      <c r="C762" s="60">
        <v>622600</v>
      </c>
      <c r="D762" s="58">
        <f>VLOOKUP(C762,Comptes!$A$2:$B$60,2,FALSE)</f>
        <v>0</v>
      </c>
      <c r="E762" s="62">
        <v>512000</v>
      </c>
      <c r="F762" s="58">
        <f>VLOOKUP(E762,Comptes!$A$2:$B$60,2,FALSE)</f>
        <v>0</v>
      </c>
      <c r="G762" s="59" t="s">
        <v>524</v>
      </c>
      <c r="H762" s="59" t="s">
        <v>513</v>
      </c>
      <c r="I762" s="68">
        <v>280.1</v>
      </c>
      <c r="J762" s="35"/>
    </row>
    <row r="763" spans="1:10" ht="10.5">
      <c r="A763" s="173">
        <v>256187</v>
      </c>
      <c r="B763" s="57">
        <v>38877</v>
      </c>
      <c r="C763" s="60">
        <v>622600</v>
      </c>
      <c r="D763" s="58">
        <f>VLOOKUP(C763,Comptes!$A$2:$B$60,2,FALSE)</f>
        <v>0</v>
      </c>
      <c r="E763" s="62">
        <v>512000</v>
      </c>
      <c r="F763" s="58">
        <f>VLOOKUP(E763,Comptes!$A$2:$B$60,2,FALSE)</f>
        <v>0</v>
      </c>
      <c r="G763" s="59" t="s">
        <v>525</v>
      </c>
      <c r="H763" s="59" t="s">
        <v>513</v>
      </c>
      <c r="I763" s="68">
        <v>244</v>
      </c>
      <c r="J763" s="35"/>
    </row>
    <row r="764" spans="1:10" ht="10.5">
      <c r="A764" s="173">
        <v>256188</v>
      </c>
      <c r="B764" s="57">
        <v>38881</v>
      </c>
      <c r="C764" s="62">
        <v>512000</v>
      </c>
      <c r="D764" s="58">
        <f>VLOOKUP(C764,Comptes!$A$2:$B$60,2,FALSE)</f>
        <v>0</v>
      </c>
      <c r="E764" s="60">
        <v>706210</v>
      </c>
      <c r="F764" s="58">
        <f>VLOOKUP(E764,Comptes!$A$2:$B$60,2,FALSE)</f>
        <v>0</v>
      </c>
      <c r="G764" s="59" t="s">
        <v>170</v>
      </c>
      <c r="H764" s="59" t="s">
        <v>509</v>
      </c>
      <c r="I764" s="68">
        <v>152</v>
      </c>
      <c r="J764" s="35"/>
    </row>
    <row r="765" spans="1:10" ht="10.5">
      <c r="A765" s="173">
        <v>256188</v>
      </c>
      <c r="B765" s="57">
        <v>38881</v>
      </c>
      <c r="C765" s="62">
        <v>512000</v>
      </c>
      <c r="D765" s="58">
        <f>VLOOKUP(C765,Comptes!$A$2:$B$60,2,FALSE)</f>
        <v>0</v>
      </c>
      <c r="E765" s="60">
        <v>706220</v>
      </c>
      <c r="F765" s="58">
        <f>VLOOKUP(E765,Comptes!$A$2:$B$60,2,FALSE)</f>
        <v>0</v>
      </c>
      <c r="G765" s="59" t="s">
        <v>170</v>
      </c>
      <c r="H765" s="59" t="s">
        <v>509</v>
      </c>
      <c r="I765" s="68">
        <v>126</v>
      </c>
      <c r="J765" s="179"/>
    </row>
    <row r="766" spans="1:10" ht="10.5">
      <c r="A766" s="173">
        <v>256188</v>
      </c>
      <c r="B766" s="57">
        <v>38881</v>
      </c>
      <c r="C766" s="62">
        <v>512000</v>
      </c>
      <c r="D766" s="58">
        <f>VLOOKUP(C766,Comptes!$A$2:$B$60,2,FALSE)</f>
        <v>0</v>
      </c>
      <c r="E766" s="60">
        <v>706230</v>
      </c>
      <c r="F766" s="58">
        <f>VLOOKUP(E766,Comptes!$A$2:$B$60,2,FALSE)</f>
        <v>0</v>
      </c>
      <c r="G766" s="59" t="s">
        <v>170</v>
      </c>
      <c r="H766" s="59" t="s">
        <v>509</v>
      </c>
      <c r="I766" s="68">
        <v>513</v>
      </c>
      <c r="J766" s="35"/>
    </row>
    <row r="767" spans="1:10" ht="10.5">
      <c r="A767" s="173">
        <v>256188</v>
      </c>
      <c r="B767" s="57">
        <v>38881</v>
      </c>
      <c r="C767" s="62">
        <v>512000</v>
      </c>
      <c r="D767" s="58">
        <f>VLOOKUP(C767,Comptes!$A$2:$B$60,2,FALSE)</f>
        <v>0</v>
      </c>
      <c r="E767" s="60">
        <v>756000</v>
      </c>
      <c r="F767" s="58">
        <f>VLOOKUP(E767,Comptes!$A$2:$B$60,2,FALSE)</f>
        <v>0</v>
      </c>
      <c r="G767" s="59" t="s">
        <v>170</v>
      </c>
      <c r="H767" s="59" t="s">
        <v>509</v>
      </c>
      <c r="I767" s="68">
        <v>18</v>
      </c>
      <c r="J767" s="35"/>
    </row>
    <row r="768" spans="1:10" ht="10.5">
      <c r="A768" s="173">
        <v>256188</v>
      </c>
      <c r="B768" s="57">
        <v>38881</v>
      </c>
      <c r="C768" s="62">
        <v>530000</v>
      </c>
      <c r="D768" s="58">
        <f>VLOOKUP(C768,Comptes!$A$2:$B$60,2,FALSE)</f>
        <v>0</v>
      </c>
      <c r="E768" s="60">
        <v>706230</v>
      </c>
      <c r="F768" s="58">
        <f>VLOOKUP(E768,Comptes!$A$2:$B$60,2,FALSE)</f>
        <v>0</v>
      </c>
      <c r="G768" s="59"/>
      <c r="H768" s="63"/>
      <c r="I768" s="68">
        <v>64</v>
      </c>
      <c r="J768" s="35"/>
    </row>
    <row r="769" spans="1:10" ht="10.5">
      <c r="A769" s="173">
        <v>256188</v>
      </c>
      <c r="B769" s="57">
        <v>38881</v>
      </c>
      <c r="C769" s="62">
        <v>530000</v>
      </c>
      <c r="D769" s="58">
        <f>VLOOKUP(C769,Comptes!$A$2:$B$60,2,FALSE)</f>
        <v>0</v>
      </c>
      <c r="E769" s="60">
        <v>756000</v>
      </c>
      <c r="F769" s="58">
        <f>VLOOKUP(E769,Comptes!$A$2:$B$60,2,FALSE)</f>
        <v>0</v>
      </c>
      <c r="G769" s="59"/>
      <c r="H769" s="63"/>
      <c r="I769" s="68">
        <v>72</v>
      </c>
      <c r="J769" s="35"/>
    </row>
    <row r="770" spans="1:10" ht="10.5">
      <c r="A770" s="173">
        <v>256188</v>
      </c>
      <c r="B770" s="57">
        <v>38881</v>
      </c>
      <c r="C770" s="62">
        <v>530000</v>
      </c>
      <c r="D770" s="58">
        <f>VLOOKUP(C770,Comptes!$A$2:$B$60,2,FALSE)</f>
        <v>0</v>
      </c>
      <c r="E770" s="60">
        <v>706230</v>
      </c>
      <c r="F770" s="58">
        <f>VLOOKUP(E770,Comptes!$A$2:$B$60,2,FALSE)</f>
        <v>0</v>
      </c>
      <c r="G770" s="59"/>
      <c r="H770" s="63"/>
      <c r="I770" s="68">
        <v>67.5</v>
      </c>
      <c r="J770" s="35"/>
    </row>
    <row r="771" spans="1:10" ht="10.5">
      <c r="A771" s="173">
        <v>256189</v>
      </c>
      <c r="B771" s="57">
        <v>38875</v>
      </c>
      <c r="C771" s="60">
        <v>512000</v>
      </c>
      <c r="D771" s="58">
        <f>VLOOKUP(C771,Comptes!$A$2:$B$60,2,FALSE)</f>
        <v>0</v>
      </c>
      <c r="E771" s="59">
        <v>706320</v>
      </c>
      <c r="F771" s="58">
        <f>VLOOKUP(E771,Comptes!$A$2:$B$60,2,FALSE)</f>
        <v>0</v>
      </c>
      <c r="G771" s="59" t="s">
        <v>171</v>
      </c>
      <c r="H771" s="59" t="s">
        <v>509</v>
      </c>
      <c r="I771" s="68">
        <v>570</v>
      </c>
      <c r="J771" s="35"/>
    </row>
    <row r="772" spans="1:10" ht="10.5">
      <c r="A772" s="173">
        <v>256190</v>
      </c>
      <c r="B772" s="57">
        <v>38877</v>
      </c>
      <c r="C772" s="60">
        <v>512000</v>
      </c>
      <c r="D772" s="58">
        <f>VLOOKUP(C772,Comptes!$A$2:$B$60,2,FALSE)</f>
        <v>0</v>
      </c>
      <c r="E772" s="59">
        <v>706320</v>
      </c>
      <c r="F772" s="58">
        <f>VLOOKUP(E772,Comptes!$A$2:$B$60,2,FALSE)</f>
        <v>0</v>
      </c>
      <c r="G772" s="59" t="s">
        <v>171</v>
      </c>
      <c r="H772" s="59" t="s">
        <v>509</v>
      </c>
      <c r="I772" s="68">
        <v>285</v>
      </c>
      <c r="J772" s="35"/>
    </row>
    <row r="773" spans="1:10" ht="10.5">
      <c r="A773" s="65">
        <v>256173</v>
      </c>
      <c r="B773" s="57">
        <v>38881</v>
      </c>
      <c r="C773" s="60">
        <v>606110</v>
      </c>
      <c r="D773" s="58">
        <f>VLOOKUP(C773,Comptes!$A$2:$B$60,2,FALSE)</f>
        <v>0</v>
      </c>
      <c r="E773" s="59">
        <v>512000</v>
      </c>
      <c r="F773" s="58">
        <f>VLOOKUP(E773,Comptes!$A$2:$B$60,2,FALSE)</f>
        <v>0</v>
      </c>
      <c r="G773" s="36" t="s">
        <v>178</v>
      </c>
      <c r="H773" s="59" t="s">
        <v>509</v>
      </c>
      <c r="I773" s="37">
        <v>147</v>
      </c>
      <c r="J773" s="35"/>
    </row>
    <row r="774" spans="1:10" ht="10.5">
      <c r="A774" s="173">
        <v>256191</v>
      </c>
      <c r="B774" s="57">
        <v>38882</v>
      </c>
      <c r="C774" s="60">
        <v>606110</v>
      </c>
      <c r="D774" s="58">
        <f>VLOOKUP(C774,Comptes!$A$2:$B$60,2,FALSE)</f>
        <v>0</v>
      </c>
      <c r="E774" s="62">
        <v>512000</v>
      </c>
      <c r="F774" s="58">
        <f>VLOOKUP(E774,Comptes!$A$2:$B$60,2,FALSE)</f>
        <v>0</v>
      </c>
      <c r="G774" s="59" t="s">
        <v>178</v>
      </c>
      <c r="H774" s="59" t="s">
        <v>509</v>
      </c>
      <c r="I774" s="68">
        <v>101.45</v>
      </c>
      <c r="J774" s="35"/>
    </row>
    <row r="775" spans="1:10" ht="10.5">
      <c r="A775" s="173">
        <v>256192</v>
      </c>
      <c r="B775" s="57">
        <v>38883</v>
      </c>
      <c r="C775" s="60">
        <v>626500</v>
      </c>
      <c r="D775" s="58">
        <f>VLOOKUP(C775,Comptes!$A$2:$B$60,2,FALSE)</f>
        <v>0</v>
      </c>
      <c r="E775" s="62">
        <v>512000</v>
      </c>
      <c r="F775" s="58">
        <f>VLOOKUP(E775,Comptes!$A$2:$B$60,2,FALSE)</f>
        <v>0</v>
      </c>
      <c r="G775" s="59" t="s">
        <v>178</v>
      </c>
      <c r="H775" s="59" t="s">
        <v>513</v>
      </c>
      <c r="I775" s="68">
        <v>19.9</v>
      </c>
      <c r="J775" s="35"/>
    </row>
    <row r="776" spans="1:10" ht="10.5">
      <c r="A776" s="173">
        <v>256193</v>
      </c>
      <c r="B776" s="57">
        <v>38884</v>
      </c>
      <c r="C776" s="60">
        <v>606700</v>
      </c>
      <c r="D776" s="58">
        <f>VLOOKUP(C776,Comptes!$A$2:$B$60,2,FALSE)</f>
        <v>0</v>
      </c>
      <c r="E776" s="62">
        <v>530000</v>
      </c>
      <c r="F776" s="58">
        <f>VLOOKUP(E776,Comptes!$A$2:$B$60,2,FALSE)</f>
        <v>0</v>
      </c>
      <c r="G776" s="59"/>
      <c r="H776" s="63"/>
      <c r="I776" s="68">
        <v>12.25</v>
      </c>
      <c r="J776" s="35"/>
    </row>
    <row r="777" spans="1:10" ht="10.5">
      <c r="A777" s="173">
        <v>256193</v>
      </c>
      <c r="B777" s="57">
        <v>38884</v>
      </c>
      <c r="C777" s="60">
        <v>606700</v>
      </c>
      <c r="D777" s="58">
        <f>VLOOKUP(C777,Comptes!$A$2:$B$60,2,FALSE)</f>
        <v>0</v>
      </c>
      <c r="E777" s="62">
        <v>512000</v>
      </c>
      <c r="F777" s="58">
        <f>VLOOKUP(E777,Comptes!$A$2:$B$60,2,FALSE)</f>
        <v>0</v>
      </c>
      <c r="G777" s="59" t="s">
        <v>526</v>
      </c>
      <c r="H777" s="59" t="s">
        <v>513</v>
      </c>
      <c r="I777" s="68">
        <v>10.65</v>
      </c>
      <c r="J777" s="35"/>
    </row>
    <row r="778" spans="1:10" ht="10.5">
      <c r="A778" s="173">
        <v>256193</v>
      </c>
      <c r="B778" s="57">
        <v>38884</v>
      </c>
      <c r="C778" s="60">
        <v>606700</v>
      </c>
      <c r="D778" s="58">
        <f>VLOOKUP(C778,Comptes!$A$2:$B$60,2,FALSE)</f>
        <v>0</v>
      </c>
      <c r="E778" s="62">
        <v>512000</v>
      </c>
      <c r="F778" s="58">
        <f>VLOOKUP(E778,Comptes!$A$2:$B$60,2,FALSE)</f>
        <v>0</v>
      </c>
      <c r="G778" s="59" t="s">
        <v>527</v>
      </c>
      <c r="H778" s="59" t="s">
        <v>513</v>
      </c>
      <c r="I778" s="68">
        <v>144.77</v>
      </c>
      <c r="J778" s="35"/>
    </row>
    <row r="779" spans="1:10" ht="10.5">
      <c r="A779" s="173">
        <v>256194</v>
      </c>
      <c r="B779" s="57">
        <v>38888</v>
      </c>
      <c r="C779" s="60">
        <v>606300</v>
      </c>
      <c r="D779" s="58">
        <f>VLOOKUP(C779,Comptes!$A$2:$B$60,2,FALSE)</f>
        <v>0</v>
      </c>
      <c r="E779" s="62">
        <v>512000</v>
      </c>
      <c r="F779" s="58">
        <f>VLOOKUP(E779,Comptes!$A$2:$B$60,2,FALSE)</f>
        <v>0</v>
      </c>
      <c r="G779" s="59" t="s">
        <v>528</v>
      </c>
      <c r="H779" s="59" t="s">
        <v>513</v>
      </c>
      <c r="I779" s="68">
        <v>270.95</v>
      </c>
      <c r="J779" s="35"/>
    </row>
    <row r="780" spans="1:10" ht="10.5">
      <c r="A780" s="173">
        <v>256194</v>
      </c>
      <c r="B780" s="57">
        <v>38888</v>
      </c>
      <c r="C780" s="60">
        <v>606300</v>
      </c>
      <c r="D780" s="58">
        <f>VLOOKUP(C780,Comptes!$A$2:$B$60,2,FALSE)</f>
        <v>0</v>
      </c>
      <c r="E780" s="62">
        <v>530000</v>
      </c>
      <c r="F780" s="58">
        <f>VLOOKUP(E780,Comptes!$A$2:$B$60,2,FALSE)</f>
        <v>0</v>
      </c>
      <c r="G780" s="59"/>
      <c r="H780" s="63"/>
      <c r="I780" s="68">
        <v>14.3</v>
      </c>
      <c r="J780" s="35"/>
    </row>
    <row r="781" spans="1:10" ht="10.5">
      <c r="A781" s="173">
        <v>256194</v>
      </c>
      <c r="B781" s="57">
        <v>38888</v>
      </c>
      <c r="C781" s="60">
        <v>606300</v>
      </c>
      <c r="D781" s="58">
        <f>VLOOKUP(C781,Comptes!$A$2:$B$60,2,FALSE)</f>
        <v>0</v>
      </c>
      <c r="E781" s="62">
        <v>530000</v>
      </c>
      <c r="F781" s="58">
        <f>VLOOKUP(E781,Comptes!$A$2:$B$60,2,FALSE)</f>
        <v>0</v>
      </c>
      <c r="G781" s="59"/>
      <c r="H781" s="63"/>
      <c r="I781" s="68">
        <v>32</v>
      </c>
      <c r="J781" s="35"/>
    </row>
    <row r="782" spans="1:10" ht="10.5">
      <c r="A782" s="173">
        <v>256195</v>
      </c>
      <c r="B782" s="57">
        <v>38888</v>
      </c>
      <c r="C782" s="60">
        <v>512000</v>
      </c>
      <c r="D782" s="58">
        <f>VLOOKUP(C782,Comptes!$A$2:$B$60,2,FALSE)</f>
        <v>0</v>
      </c>
      <c r="E782" s="62">
        <v>754000</v>
      </c>
      <c r="F782" s="58">
        <f>VLOOKUP(E782,Comptes!$A$2:$B$60,2,FALSE)</f>
        <v>0</v>
      </c>
      <c r="G782" s="59" t="s">
        <v>170</v>
      </c>
      <c r="H782" s="59" t="s">
        <v>513</v>
      </c>
      <c r="I782" s="68">
        <v>16</v>
      </c>
      <c r="J782" s="35"/>
    </row>
    <row r="783" spans="1:10" ht="10.5">
      <c r="A783" s="173">
        <v>256195</v>
      </c>
      <c r="B783" s="57">
        <v>38888</v>
      </c>
      <c r="C783" s="60">
        <v>512000</v>
      </c>
      <c r="D783" s="58">
        <f>VLOOKUP(C783,Comptes!$A$2:$B$60,2,FALSE)</f>
        <v>0</v>
      </c>
      <c r="E783" s="62">
        <v>706210</v>
      </c>
      <c r="F783" s="58">
        <f>VLOOKUP(E783,Comptes!$A$2:$B$60,2,FALSE)</f>
        <v>0</v>
      </c>
      <c r="G783" s="59" t="s">
        <v>170</v>
      </c>
      <c r="H783" s="59" t="s">
        <v>513</v>
      </c>
      <c r="I783" s="68">
        <v>161</v>
      </c>
      <c r="J783" s="35"/>
    </row>
    <row r="784" spans="1:10" ht="10.5">
      <c r="A784" s="173">
        <v>256195</v>
      </c>
      <c r="B784" s="57">
        <v>38888</v>
      </c>
      <c r="C784" s="60">
        <v>512000</v>
      </c>
      <c r="D784" s="58">
        <f>VLOOKUP(C784,Comptes!$A$2:$B$60,2,FALSE)</f>
        <v>0</v>
      </c>
      <c r="E784" s="62">
        <v>706220</v>
      </c>
      <c r="F784" s="58">
        <f>VLOOKUP(E784,Comptes!$A$2:$B$60,2,FALSE)</f>
        <v>0</v>
      </c>
      <c r="G784" s="59" t="s">
        <v>170</v>
      </c>
      <c r="H784" s="59" t="s">
        <v>513</v>
      </c>
      <c r="I784" s="68">
        <v>156</v>
      </c>
      <c r="J784" s="179"/>
    </row>
    <row r="785" spans="1:10" ht="10.5">
      <c r="A785" s="173">
        <v>256195</v>
      </c>
      <c r="B785" s="57">
        <v>38888</v>
      </c>
      <c r="C785" s="60">
        <v>512000</v>
      </c>
      <c r="D785" s="58">
        <f>VLOOKUP(C785,Comptes!$A$2:$B$60,2,FALSE)</f>
        <v>0</v>
      </c>
      <c r="E785" s="62">
        <v>706230</v>
      </c>
      <c r="F785" s="58">
        <f>VLOOKUP(E785,Comptes!$A$2:$B$60,2,FALSE)</f>
        <v>0</v>
      </c>
      <c r="G785" s="59" t="s">
        <v>170</v>
      </c>
      <c r="H785" s="59" t="s">
        <v>513</v>
      </c>
      <c r="I785" s="68">
        <v>680</v>
      </c>
      <c r="J785" s="35"/>
    </row>
    <row r="786" spans="1:10" ht="10.5">
      <c r="A786" s="173">
        <v>256195</v>
      </c>
      <c r="B786" s="57">
        <v>38888</v>
      </c>
      <c r="C786" s="60">
        <v>512000</v>
      </c>
      <c r="D786" s="58">
        <f>VLOOKUP(C786,Comptes!$A$2:$B$60,2,FALSE)</f>
        <v>0</v>
      </c>
      <c r="E786" s="62">
        <v>706220</v>
      </c>
      <c r="F786" s="58">
        <f>VLOOKUP(E786,Comptes!$A$2:$B$60,2,FALSE)</f>
        <v>0</v>
      </c>
      <c r="G786" s="59" t="s">
        <v>170</v>
      </c>
      <c r="H786" s="59" t="s">
        <v>513</v>
      </c>
      <c r="I786" s="68">
        <v>30</v>
      </c>
      <c r="J786" s="35"/>
    </row>
    <row r="787" spans="1:10" ht="10.5">
      <c r="A787" s="173">
        <v>256195</v>
      </c>
      <c r="B787" s="57">
        <v>38888</v>
      </c>
      <c r="C787" s="60">
        <v>512000</v>
      </c>
      <c r="D787" s="58">
        <f>VLOOKUP(C787,Comptes!$A$2:$B$60,2,FALSE)</f>
        <v>0</v>
      </c>
      <c r="E787" s="62">
        <v>706210</v>
      </c>
      <c r="F787" s="58">
        <f>VLOOKUP(E787,Comptes!$A$2:$B$60,2,FALSE)</f>
        <v>0</v>
      </c>
      <c r="G787" s="59" t="s">
        <v>170</v>
      </c>
      <c r="H787" s="59" t="s">
        <v>513</v>
      </c>
      <c r="I787" s="68">
        <v>100</v>
      </c>
      <c r="J787" s="35"/>
    </row>
    <row r="788" spans="1:10" ht="10.5">
      <c r="A788" s="47">
        <v>256195</v>
      </c>
      <c r="B788" s="48">
        <v>38888</v>
      </c>
      <c r="C788" s="49">
        <v>511200</v>
      </c>
      <c r="D788" s="58">
        <f>VLOOKUP(C788,Comptes!$A$2:$B$60,2,FALSE)</f>
        <v>0</v>
      </c>
      <c r="E788" s="49">
        <v>512000</v>
      </c>
      <c r="F788" s="58">
        <f>VLOOKUP(E788,Comptes!$A$2:$B$60,2,FALSE)</f>
        <v>0</v>
      </c>
      <c r="G788" s="49" t="s">
        <v>170</v>
      </c>
      <c r="H788" s="59" t="s">
        <v>513</v>
      </c>
      <c r="I788" s="61">
        <v>118</v>
      </c>
      <c r="J788" s="35"/>
    </row>
    <row r="789" spans="1:10" ht="10.5">
      <c r="A789" s="173">
        <v>256195</v>
      </c>
      <c r="B789" s="57">
        <v>38888</v>
      </c>
      <c r="C789" s="60">
        <v>530000</v>
      </c>
      <c r="D789" s="58">
        <f>VLOOKUP(C789,Comptes!$A$2:$B$60,2,FALSE)</f>
        <v>0</v>
      </c>
      <c r="E789" s="62">
        <v>706230</v>
      </c>
      <c r="F789" s="58">
        <f>VLOOKUP(E789,Comptes!$A$2:$B$60,2,FALSE)</f>
        <v>0</v>
      </c>
      <c r="G789" s="59"/>
      <c r="H789" s="63"/>
      <c r="I789" s="68">
        <v>60</v>
      </c>
      <c r="J789" s="35"/>
    </row>
    <row r="790" spans="1:10" ht="10.5">
      <c r="A790" s="173">
        <v>256196</v>
      </c>
      <c r="B790" s="57">
        <v>38892</v>
      </c>
      <c r="C790" s="60">
        <v>626500</v>
      </c>
      <c r="D790" s="58">
        <f>VLOOKUP(C790,Comptes!$A$2:$B$60,2,FALSE)</f>
        <v>0</v>
      </c>
      <c r="E790" s="62">
        <v>512000</v>
      </c>
      <c r="F790" s="58">
        <f>VLOOKUP(E790,Comptes!$A$2:$B$60,2,FALSE)</f>
        <v>0</v>
      </c>
      <c r="G790" s="59" t="s">
        <v>178</v>
      </c>
      <c r="H790" s="59" t="s">
        <v>513</v>
      </c>
      <c r="I790" s="68">
        <v>37.27</v>
      </c>
      <c r="J790" s="35"/>
    </row>
    <row r="791" spans="1:10" ht="10.5">
      <c r="A791" s="173">
        <v>256196</v>
      </c>
      <c r="B791" s="57">
        <v>38897</v>
      </c>
      <c r="C791" s="60">
        <v>626500</v>
      </c>
      <c r="D791" s="58">
        <f>VLOOKUP(C791,Comptes!$A$2:$B$60,2,FALSE)</f>
        <v>0</v>
      </c>
      <c r="E791" s="62">
        <v>512000</v>
      </c>
      <c r="F791" s="58">
        <f>VLOOKUP(E791,Comptes!$A$2:$B$60,2,FALSE)</f>
        <v>0</v>
      </c>
      <c r="G791" s="59" t="s">
        <v>178</v>
      </c>
      <c r="H791" s="59" t="s">
        <v>513</v>
      </c>
      <c r="I791" s="68">
        <v>0.23</v>
      </c>
      <c r="J791" s="35"/>
    </row>
    <row r="792" spans="1:10" ht="10.5">
      <c r="A792" s="173">
        <v>256197</v>
      </c>
      <c r="B792" s="57">
        <v>38878</v>
      </c>
      <c r="C792" s="60">
        <v>613200</v>
      </c>
      <c r="D792" s="58">
        <f>VLOOKUP(C792,Comptes!$A$2:$B$60,2,FALSE)</f>
        <v>0</v>
      </c>
      <c r="E792" s="62">
        <v>512000</v>
      </c>
      <c r="F792" s="58">
        <f>VLOOKUP(E792,Comptes!$A$2:$B$60,2,FALSE)</f>
        <v>0</v>
      </c>
      <c r="G792" s="59" t="s">
        <v>178</v>
      </c>
      <c r="H792" s="59" t="s">
        <v>509</v>
      </c>
      <c r="I792" s="61">
        <v>963.5</v>
      </c>
      <c r="J792" s="64"/>
    </row>
    <row r="793" spans="1:10" ht="10.5">
      <c r="A793" s="173">
        <v>256198</v>
      </c>
      <c r="B793" s="57">
        <v>38874</v>
      </c>
      <c r="C793" s="60">
        <v>512000</v>
      </c>
      <c r="D793" s="58">
        <f>VLOOKUP(C793,Comptes!$A$2:$B$60,2,FALSE)</f>
        <v>0</v>
      </c>
      <c r="E793" s="59">
        <v>754000</v>
      </c>
      <c r="F793" s="58">
        <f>VLOOKUP(E793,Comptes!$A$2:$B$60,2,FALSE)</f>
        <v>0</v>
      </c>
      <c r="G793" s="59" t="s">
        <v>171</v>
      </c>
      <c r="H793" s="59" t="s">
        <v>509</v>
      </c>
      <c r="I793" s="61">
        <v>150</v>
      </c>
      <c r="J793" s="64"/>
    </row>
    <row r="794" spans="1:10" ht="10.5">
      <c r="A794" s="173">
        <v>256198</v>
      </c>
      <c r="B794" s="57">
        <v>38877</v>
      </c>
      <c r="C794" s="60">
        <v>512000</v>
      </c>
      <c r="D794" s="58">
        <f>VLOOKUP(C794,Comptes!$A$2:$B$60,2,FALSE)</f>
        <v>0</v>
      </c>
      <c r="E794" s="59">
        <v>754000</v>
      </c>
      <c r="F794" s="58">
        <f>VLOOKUP(E794,Comptes!$A$2:$B$60,2,FALSE)</f>
        <v>0</v>
      </c>
      <c r="G794" s="59" t="s">
        <v>171</v>
      </c>
      <c r="H794" s="59" t="s">
        <v>509</v>
      </c>
      <c r="I794" s="61">
        <v>15</v>
      </c>
      <c r="J794" s="64"/>
    </row>
    <row r="795" spans="1:10" ht="10.5">
      <c r="A795" s="173">
        <v>256198</v>
      </c>
      <c r="B795" s="57">
        <v>38883</v>
      </c>
      <c r="C795" s="59">
        <v>512000</v>
      </c>
      <c r="D795" s="58">
        <f>VLOOKUP(C795,Comptes!$A$2:$B$60,2,FALSE)</f>
        <v>0</v>
      </c>
      <c r="E795" s="60">
        <v>754000</v>
      </c>
      <c r="F795" s="58">
        <f>VLOOKUP(E795,Comptes!$A$2:$B$60,2,FALSE)</f>
        <v>0</v>
      </c>
      <c r="G795" s="59" t="s">
        <v>171</v>
      </c>
      <c r="H795" s="59" t="s">
        <v>509</v>
      </c>
      <c r="I795" s="68">
        <v>30</v>
      </c>
      <c r="J795" s="64"/>
    </row>
    <row r="796" spans="1:10" ht="10.5">
      <c r="A796" s="173">
        <v>256198</v>
      </c>
      <c r="B796" s="57">
        <v>38883</v>
      </c>
      <c r="C796" s="59">
        <v>530000</v>
      </c>
      <c r="D796" s="58">
        <f>VLOOKUP(C796,Comptes!$A$2:$B$60,2,FALSE)</f>
        <v>0</v>
      </c>
      <c r="E796" s="60">
        <v>706100</v>
      </c>
      <c r="F796" s="58">
        <f>VLOOKUP(E796,Comptes!$A$2:$B$60,2,FALSE)</f>
        <v>0</v>
      </c>
      <c r="G796" s="59"/>
      <c r="H796" s="59"/>
      <c r="I796" s="68">
        <v>100</v>
      </c>
      <c r="J796" s="64"/>
    </row>
    <row r="797" spans="1:10" ht="10.5">
      <c r="A797" s="173">
        <v>256199</v>
      </c>
      <c r="B797" s="57">
        <v>38884</v>
      </c>
      <c r="C797" s="60">
        <v>512000</v>
      </c>
      <c r="D797" s="58">
        <f>VLOOKUP(C797,Comptes!$A$2:$B$60,2,FALSE)</f>
        <v>0</v>
      </c>
      <c r="E797" s="59">
        <v>706320</v>
      </c>
      <c r="F797" s="58">
        <f>VLOOKUP(E797,Comptes!$A$2:$B$60,2,FALSE)</f>
        <v>0</v>
      </c>
      <c r="G797" s="59" t="s">
        <v>171</v>
      </c>
      <c r="H797" s="59" t="s">
        <v>513</v>
      </c>
      <c r="I797" s="68">
        <v>276</v>
      </c>
      <c r="J797" s="35"/>
    </row>
    <row r="798" spans="1:10" ht="10.5">
      <c r="A798" s="173">
        <v>256200</v>
      </c>
      <c r="B798" s="57">
        <v>38884</v>
      </c>
      <c r="C798" s="60">
        <v>512000</v>
      </c>
      <c r="D798" s="58">
        <f>VLOOKUP(C798,Comptes!$A$2:$B$60,2,FALSE)</f>
        <v>0</v>
      </c>
      <c r="E798" s="59">
        <v>706320</v>
      </c>
      <c r="F798" s="58">
        <f>VLOOKUP(E798,Comptes!$A$2:$B$60,2,FALSE)</f>
        <v>0</v>
      </c>
      <c r="G798" s="59" t="s">
        <v>171</v>
      </c>
      <c r="H798" s="59" t="s">
        <v>513</v>
      </c>
      <c r="I798" s="68">
        <v>285</v>
      </c>
      <c r="J798" s="35"/>
    </row>
    <row r="799" spans="1:10" ht="10.5">
      <c r="A799" s="173">
        <v>256201</v>
      </c>
      <c r="B799" s="57">
        <v>38891</v>
      </c>
      <c r="C799" s="60">
        <v>606700</v>
      </c>
      <c r="D799" s="58">
        <f>VLOOKUP(C799,Comptes!$A$2:$B$60,2,FALSE)</f>
        <v>0</v>
      </c>
      <c r="E799" s="59">
        <v>512000</v>
      </c>
      <c r="F799" s="58">
        <f>VLOOKUP(E799,Comptes!$A$2:$B$60,2,FALSE)</f>
        <v>0</v>
      </c>
      <c r="G799" s="59" t="s">
        <v>529</v>
      </c>
      <c r="H799" s="59" t="s">
        <v>530</v>
      </c>
      <c r="I799" s="68">
        <v>50.1</v>
      </c>
      <c r="J799" s="35"/>
    </row>
    <row r="800" spans="1:10" ht="10.5">
      <c r="A800" s="173">
        <v>256201</v>
      </c>
      <c r="B800" s="57">
        <v>38891</v>
      </c>
      <c r="C800" s="60">
        <v>606700</v>
      </c>
      <c r="D800" s="58">
        <f>VLOOKUP(C800,Comptes!$A$2:$B$60,2,FALSE)</f>
        <v>0</v>
      </c>
      <c r="E800" s="59">
        <v>530000</v>
      </c>
      <c r="F800" s="58">
        <f>VLOOKUP(E800,Comptes!$A$2:$B$60,2,FALSE)</f>
        <v>0</v>
      </c>
      <c r="G800" s="59"/>
      <c r="H800" s="63"/>
      <c r="I800" s="68">
        <f>34.37+7.24</f>
        <v>41.61</v>
      </c>
      <c r="J800" s="35"/>
    </row>
    <row r="801" spans="1:10" ht="10.5">
      <c r="A801" s="173">
        <v>256201</v>
      </c>
      <c r="B801" s="57">
        <v>38891</v>
      </c>
      <c r="C801" s="60">
        <v>606700</v>
      </c>
      <c r="D801" s="58">
        <f>VLOOKUP(C801,Comptes!$A$2:$B$60,2,FALSE)</f>
        <v>0</v>
      </c>
      <c r="E801" s="59">
        <v>512000</v>
      </c>
      <c r="F801" s="58">
        <f>VLOOKUP(E801,Comptes!$A$2:$B$60,2,FALSE)</f>
        <v>0</v>
      </c>
      <c r="G801" s="59" t="s">
        <v>531</v>
      </c>
      <c r="H801" s="59" t="s">
        <v>513</v>
      </c>
      <c r="I801" s="68">
        <v>10.65</v>
      </c>
      <c r="J801" s="35"/>
    </row>
    <row r="802" spans="1:10" ht="10.5">
      <c r="A802" s="173">
        <v>256201</v>
      </c>
      <c r="B802" s="57">
        <v>38891</v>
      </c>
      <c r="C802" s="60">
        <v>606700</v>
      </c>
      <c r="D802" s="58">
        <f>VLOOKUP(C802,Comptes!$A$2:$B$60,2,FALSE)</f>
        <v>0</v>
      </c>
      <c r="E802" s="59">
        <v>512000</v>
      </c>
      <c r="F802" s="58">
        <f>VLOOKUP(E802,Comptes!$A$2:$B$60,2,FALSE)</f>
        <v>0</v>
      </c>
      <c r="G802" s="59" t="s">
        <v>532</v>
      </c>
      <c r="H802" s="59" t="s">
        <v>513</v>
      </c>
      <c r="I802" s="68">
        <v>112.55</v>
      </c>
      <c r="J802" s="35"/>
    </row>
    <row r="803" spans="1:10" ht="10.5">
      <c r="A803" s="173">
        <v>256202</v>
      </c>
      <c r="B803" s="57">
        <v>38893</v>
      </c>
      <c r="C803" s="60">
        <v>512000</v>
      </c>
      <c r="D803" s="58">
        <f>VLOOKUP(C803,Comptes!$A$2:$B$60,2,FALSE)</f>
        <v>0</v>
      </c>
      <c r="E803" s="59">
        <v>706210</v>
      </c>
      <c r="F803" s="58">
        <f>VLOOKUP(E803,Comptes!$A$2:$B$60,2,FALSE)</f>
        <v>0</v>
      </c>
      <c r="G803" s="59" t="s">
        <v>170</v>
      </c>
      <c r="H803" s="59" t="s">
        <v>513</v>
      </c>
      <c r="I803" s="68">
        <v>130</v>
      </c>
      <c r="J803" s="179"/>
    </row>
    <row r="804" spans="1:10" ht="10.5">
      <c r="A804" s="173">
        <v>256202</v>
      </c>
      <c r="B804" s="57">
        <v>38893</v>
      </c>
      <c r="C804" s="60">
        <v>512000</v>
      </c>
      <c r="D804" s="58">
        <f>VLOOKUP(C804,Comptes!$A$2:$B$60,2,FALSE)</f>
        <v>0</v>
      </c>
      <c r="E804" s="59">
        <v>706220</v>
      </c>
      <c r="F804" s="58">
        <f>VLOOKUP(E804,Comptes!$A$2:$B$60,2,FALSE)</f>
        <v>0</v>
      </c>
      <c r="G804" s="59" t="s">
        <v>170</v>
      </c>
      <c r="H804" s="59" t="s">
        <v>513</v>
      </c>
      <c r="I804" s="68">
        <v>124</v>
      </c>
      <c r="J804" s="35"/>
    </row>
    <row r="805" spans="1:10" ht="10.5">
      <c r="A805" s="173">
        <v>256202</v>
      </c>
      <c r="B805" s="57">
        <v>38893</v>
      </c>
      <c r="C805" s="60">
        <v>512000</v>
      </c>
      <c r="D805" s="58">
        <f>VLOOKUP(C805,Comptes!$A$2:$B$60,2,FALSE)</f>
        <v>0</v>
      </c>
      <c r="E805" s="59">
        <v>706230</v>
      </c>
      <c r="F805" s="58">
        <f>VLOOKUP(E805,Comptes!$A$2:$B$60,2,FALSE)</f>
        <v>0</v>
      </c>
      <c r="G805" s="59" t="s">
        <v>170</v>
      </c>
      <c r="H805" s="59" t="s">
        <v>513</v>
      </c>
      <c r="I805" s="68">
        <v>261</v>
      </c>
      <c r="J805" s="35"/>
    </row>
    <row r="806" spans="1:10" ht="10.5">
      <c r="A806" s="173">
        <v>256202</v>
      </c>
      <c r="B806" s="57">
        <v>38893</v>
      </c>
      <c r="C806" s="60">
        <v>512000</v>
      </c>
      <c r="D806" s="58">
        <f>VLOOKUP(C806,Comptes!$A$2:$B$60,2,FALSE)</f>
        <v>0</v>
      </c>
      <c r="E806" s="59">
        <v>756000</v>
      </c>
      <c r="F806" s="58">
        <f>VLOOKUP(E806,Comptes!$A$2:$B$60,2,FALSE)</f>
        <v>0</v>
      </c>
      <c r="G806" s="59" t="s">
        <v>170</v>
      </c>
      <c r="H806" s="59" t="s">
        <v>513</v>
      </c>
      <c r="I806" s="68">
        <v>36</v>
      </c>
      <c r="J806" s="35"/>
    </row>
    <row r="807" spans="1:10" ht="10.5">
      <c r="A807" s="47">
        <v>256202</v>
      </c>
      <c r="B807" s="48">
        <v>38888</v>
      </c>
      <c r="C807" s="49">
        <v>512000</v>
      </c>
      <c r="D807" s="58">
        <f>VLOOKUP(C807,Comptes!$A$2:$B$60,2,FALSE)</f>
        <v>0</v>
      </c>
      <c r="E807" s="49">
        <v>511200</v>
      </c>
      <c r="F807" s="58">
        <f>VLOOKUP(E807,Comptes!$A$2:$B$60,2,FALSE)</f>
        <v>0</v>
      </c>
      <c r="G807" s="49" t="s">
        <v>170</v>
      </c>
      <c r="H807" s="59" t="s">
        <v>513</v>
      </c>
      <c r="I807" s="61">
        <v>118</v>
      </c>
      <c r="J807" s="35"/>
    </row>
    <row r="808" spans="1:10" ht="10.5">
      <c r="A808" s="47">
        <v>256202</v>
      </c>
      <c r="B808" s="48">
        <v>38860</v>
      </c>
      <c r="C808" s="49">
        <v>512000</v>
      </c>
      <c r="D808" s="58">
        <f>VLOOKUP(C808,Comptes!$A$2:$B$60,2,FALSE)</f>
        <v>0</v>
      </c>
      <c r="E808" s="49">
        <v>511200</v>
      </c>
      <c r="F808" s="58">
        <f>VLOOKUP(E808,Comptes!$A$2:$B$60,2,FALSE)</f>
        <v>0</v>
      </c>
      <c r="G808" s="49" t="s">
        <v>170</v>
      </c>
      <c r="H808" s="59" t="s">
        <v>513</v>
      </c>
      <c r="I808" s="61">
        <v>118</v>
      </c>
      <c r="J808" s="35"/>
    </row>
    <row r="809" spans="1:10" ht="10.5">
      <c r="A809" s="173">
        <v>256202</v>
      </c>
      <c r="B809" s="57">
        <v>38893</v>
      </c>
      <c r="C809" s="60">
        <v>530000</v>
      </c>
      <c r="D809" s="58">
        <f>VLOOKUP(C809,Comptes!$A$2:$B$60,2,FALSE)</f>
        <v>0</v>
      </c>
      <c r="E809" s="59">
        <v>706210</v>
      </c>
      <c r="F809" s="58">
        <f>VLOOKUP(E809,Comptes!$A$2:$B$60,2,FALSE)</f>
        <v>0</v>
      </c>
      <c r="G809" s="59"/>
      <c r="H809" s="63"/>
      <c r="I809" s="68">
        <v>56</v>
      </c>
      <c r="J809" s="35"/>
    </row>
    <row r="810" spans="1:10" ht="10.5">
      <c r="A810" s="173">
        <v>256202</v>
      </c>
      <c r="B810" s="57">
        <v>38893</v>
      </c>
      <c r="C810" s="60">
        <v>530000</v>
      </c>
      <c r="D810" s="58">
        <f>VLOOKUP(C810,Comptes!$A$2:$B$60,2,FALSE)</f>
        <v>0</v>
      </c>
      <c r="E810" s="59">
        <v>706220</v>
      </c>
      <c r="F810" s="58">
        <f>VLOOKUP(E810,Comptes!$A$2:$B$60,2,FALSE)</f>
        <v>0</v>
      </c>
      <c r="G810" s="59"/>
      <c r="H810" s="63"/>
      <c r="I810" s="68">
        <v>33</v>
      </c>
      <c r="J810" s="35"/>
    </row>
    <row r="811" spans="1:10" ht="10.5">
      <c r="A811" s="173">
        <v>256202</v>
      </c>
      <c r="B811" s="57">
        <v>38893</v>
      </c>
      <c r="C811" s="60">
        <v>530000</v>
      </c>
      <c r="D811" s="58">
        <f>VLOOKUP(C811,Comptes!$A$2:$B$60,2,FALSE)</f>
        <v>0</v>
      </c>
      <c r="E811" s="59">
        <v>706230</v>
      </c>
      <c r="F811" s="58">
        <f>VLOOKUP(E811,Comptes!$A$2:$B$60,2,FALSE)</f>
        <v>0</v>
      </c>
      <c r="G811" s="59"/>
      <c r="H811" s="63"/>
      <c r="I811" s="68">
        <v>76</v>
      </c>
      <c r="J811" s="35"/>
    </row>
    <row r="812" spans="1:10" ht="10.5">
      <c r="A812" s="173">
        <v>256202</v>
      </c>
      <c r="B812" s="57">
        <v>38893</v>
      </c>
      <c r="C812" s="60">
        <v>530000</v>
      </c>
      <c r="D812" s="58">
        <f>VLOOKUP(C812,Comptes!$A$2:$B$60,2,FALSE)</f>
        <v>0</v>
      </c>
      <c r="E812" s="59">
        <v>756000</v>
      </c>
      <c r="F812" s="58">
        <f>VLOOKUP(E812,Comptes!$A$2:$B$60,2,FALSE)</f>
        <v>0</v>
      </c>
      <c r="G812" s="59"/>
      <c r="H812" s="63"/>
      <c r="I812" s="68">
        <v>37</v>
      </c>
      <c r="J812" s="35"/>
    </row>
    <row r="813" spans="1:10" ht="10.5">
      <c r="A813" s="173">
        <v>256203</v>
      </c>
      <c r="B813" s="57">
        <v>38897</v>
      </c>
      <c r="C813" s="60">
        <v>626000</v>
      </c>
      <c r="D813" s="58">
        <f>VLOOKUP(C813,Comptes!$A$2:$B$60,2,FALSE)</f>
        <v>0</v>
      </c>
      <c r="E813" s="59">
        <v>530000</v>
      </c>
      <c r="F813" s="58">
        <f>VLOOKUP(E813,Comptes!$A$2:$B$60,2,FALSE)</f>
        <v>0</v>
      </c>
      <c r="G813" s="59"/>
      <c r="H813" s="63"/>
      <c r="I813" s="68">
        <v>208</v>
      </c>
      <c r="J813" s="35"/>
    </row>
    <row r="814" spans="1:10" ht="10.5">
      <c r="A814" s="173">
        <v>256204</v>
      </c>
      <c r="B814" s="57">
        <v>38896</v>
      </c>
      <c r="C814" s="60">
        <v>645000</v>
      </c>
      <c r="D814" s="58">
        <f>VLOOKUP(C814,Comptes!$A$2:$B$60,2,FALSE)</f>
        <v>0</v>
      </c>
      <c r="E814" s="62">
        <v>512000</v>
      </c>
      <c r="F814" s="58">
        <f>VLOOKUP(E814,Comptes!$A$2:$B$60,2,FALSE)</f>
        <v>0</v>
      </c>
      <c r="G814" s="59" t="s">
        <v>184</v>
      </c>
      <c r="H814" s="59" t="s">
        <v>533</v>
      </c>
      <c r="I814" s="61">
        <v>2873</v>
      </c>
      <c r="J814" s="64"/>
    </row>
    <row r="815" spans="1:10" ht="10.5">
      <c r="A815" s="173">
        <v>256204</v>
      </c>
      <c r="B815" s="57">
        <v>38896</v>
      </c>
      <c r="C815" s="60">
        <v>645000</v>
      </c>
      <c r="D815" s="58">
        <f>VLOOKUP(C815,Comptes!$A$2:$B$60,2,FALSE)</f>
        <v>0</v>
      </c>
      <c r="E815" s="62">
        <v>512000</v>
      </c>
      <c r="F815" s="58">
        <f>VLOOKUP(E815,Comptes!$A$2:$B$60,2,FALSE)</f>
        <v>0</v>
      </c>
      <c r="G815" s="59" t="s">
        <v>184</v>
      </c>
      <c r="H815" s="59" t="s">
        <v>534</v>
      </c>
      <c r="I815" s="61">
        <v>606</v>
      </c>
      <c r="J815" s="64"/>
    </row>
    <row r="816" spans="1:10" ht="10.5">
      <c r="A816" s="173">
        <v>256204</v>
      </c>
      <c r="B816" s="57">
        <v>38896</v>
      </c>
      <c r="C816" s="60">
        <v>645000</v>
      </c>
      <c r="D816" s="58">
        <f>VLOOKUP(C816,Comptes!$A$2:$B$60,2,FALSE)</f>
        <v>0</v>
      </c>
      <c r="E816" s="62">
        <v>512000</v>
      </c>
      <c r="F816" s="58">
        <f>VLOOKUP(E816,Comptes!$A$2:$B$60,2,FALSE)</f>
        <v>0</v>
      </c>
      <c r="G816" s="59" t="s">
        <v>184</v>
      </c>
      <c r="H816" s="59" t="s">
        <v>533</v>
      </c>
      <c r="I816" s="61">
        <v>429</v>
      </c>
      <c r="J816" s="64"/>
    </row>
    <row r="817" spans="1:10" ht="10.5">
      <c r="A817" s="173">
        <v>256205</v>
      </c>
      <c r="B817" s="57">
        <v>38897</v>
      </c>
      <c r="C817" s="60">
        <v>613100</v>
      </c>
      <c r="D817" s="58">
        <f>VLOOKUP(C817,Comptes!$A$2:$B$60,2,FALSE)</f>
        <v>0</v>
      </c>
      <c r="E817" s="62">
        <v>512000</v>
      </c>
      <c r="F817" s="58">
        <f>VLOOKUP(E817,Comptes!$A$2:$B$60,2,FALSE)</f>
        <v>0</v>
      </c>
      <c r="G817" s="59" t="s">
        <v>535</v>
      </c>
      <c r="H817" s="59" t="s">
        <v>513</v>
      </c>
      <c r="I817" s="61">
        <v>835</v>
      </c>
      <c r="J817" s="66"/>
    </row>
    <row r="818" spans="1:10" ht="10.5">
      <c r="A818" s="173">
        <v>256205</v>
      </c>
      <c r="B818" s="57">
        <v>38897</v>
      </c>
      <c r="C818" s="60">
        <v>625000</v>
      </c>
      <c r="D818" s="58">
        <f>VLOOKUP(C818,Comptes!$A$2:$B$60,2,FALSE)</f>
        <v>0</v>
      </c>
      <c r="E818" s="59">
        <v>512000</v>
      </c>
      <c r="F818" s="58">
        <f>VLOOKUP(E818,Comptes!$A$2:$B$60,2,FALSE)</f>
        <v>0</v>
      </c>
      <c r="G818" s="59" t="s">
        <v>535</v>
      </c>
      <c r="H818" s="59" t="s">
        <v>513</v>
      </c>
      <c r="I818" s="68">
        <v>40</v>
      </c>
      <c r="J818" s="35"/>
    </row>
    <row r="819" spans="1:10" ht="10.5">
      <c r="A819" s="173">
        <v>256205</v>
      </c>
      <c r="B819" s="57">
        <v>38897</v>
      </c>
      <c r="C819" s="60">
        <v>606400</v>
      </c>
      <c r="D819" s="58">
        <f>VLOOKUP(C819,Comptes!$A$2:$B$60,2,FALSE)</f>
        <v>0</v>
      </c>
      <c r="E819" s="59">
        <v>530000</v>
      </c>
      <c r="F819" s="58">
        <f>VLOOKUP(E819,Comptes!$A$2:$B$60,2,FALSE)</f>
        <v>0</v>
      </c>
      <c r="G819" s="59"/>
      <c r="H819" s="63"/>
      <c r="I819" s="68">
        <v>104.53</v>
      </c>
      <c r="J819" s="35"/>
    </row>
    <row r="820" spans="1:10" ht="10.5">
      <c r="A820" s="173">
        <v>256205</v>
      </c>
      <c r="B820" s="57">
        <v>38897</v>
      </c>
      <c r="C820" s="60">
        <v>615000</v>
      </c>
      <c r="D820" s="58">
        <f>VLOOKUP(C820,Comptes!$A$2:$B$60,2,FALSE)</f>
        <v>0</v>
      </c>
      <c r="E820" s="59">
        <v>530000</v>
      </c>
      <c r="F820" s="58">
        <f>VLOOKUP(E820,Comptes!$A$2:$B$60,2,FALSE)</f>
        <v>0</v>
      </c>
      <c r="G820" s="59"/>
      <c r="H820" s="63"/>
      <c r="I820" s="68">
        <v>11.69</v>
      </c>
      <c r="J820" s="35"/>
    </row>
    <row r="821" spans="1:10" ht="10.5">
      <c r="A821" s="173">
        <v>256205</v>
      </c>
      <c r="B821" s="57">
        <v>38897</v>
      </c>
      <c r="C821" s="60">
        <v>616000</v>
      </c>
      <c r="D821" s="58">
        <f>VLOOKUP(C821,Comptes!$A$2:$B$60,2,FALSE)</f>
        <v>0</v>
      </c>
      <c r="E821" s="59">
        <v>512000</v>
      </c>
      <c r="F821" s="58">
        <f>VLOOKUP(E821,Comptes!$A$2:$B$60,2,FALSE)</f>
        <v>0</v>
      </c>
      <c r="G821" s="59" t="s">
        <v>200</v>
      </c>
      <c r="H821" s="59" t="s">
        <v>530</v>
      </c>
      <c r="I821" s="68">
        <v>90</v>
      </c>
      <c r="J821" s="35"/>
    </row>
    <row r="822" spans="1:10" ht="10.5">
      <c r="A822" s="173">
        <v>256206</v>
      </c>
      <c r="B822" s="57">
        <v>38890</v>
      </c>
      <c r="C822" s="60">
        <v>512000</v>
      </c>
      <c r="D822" s="58">
        <f>VLOOKUP(C822,Comptes!$A$2:$B$60,2,FALSE)</f>
        <v>0</v>
      </c>
      <c r="E822" s="59">
        <v>706320</v>
      </c>
      <c r="F822" s="58">
        <f>VLOOKUP(E822,Comptes!$A$2:$B$60,2,FALSE)</f>
        <v>0</v>
      </c>
      <c r="G822" s="59" t="s">
        <v>171</v>
      </c>
      <c r="H822" s="59" t="s">
        <v>513</v>
      </c>
      <c r="I822" s="68">
        <v>285</v>
      </c>
      <c r="J822" s="35"/>
    </row>
    <row r="823" spans="1:10" ht="10.5">
      <c r="A823" s="173">
        <v>256207</v>
      </c>
      <c r="B823" s="57">
        <v>38895</v>
      </c>
      <c r="C823" s="60">
        <v>512000</v>
      </c>
      <c r="D823" s="58">
        <f>VLOOKUP(C823,Comptes!$A$2:$B$60,2,FALSE)</f>
        <v>0</v>
      </c>
      <c r="E823" s="59">
        <v>706320</v>
      </c>
      <c r="F823" s="58">
        <f>VLOOKUP(E823,Comptes!$A$2:$B$60,2,FALSE)</f>
        <v>0</v>
      </c>
      <c r="G823" s="59" t="s">
        <v>171</v>
      </c>
      <c r="H823" s="59" t="s">
        <v>513</v>
      </c>
      <c r="I823" s="68">
        <v>285</v>
      </c>
      <c r="J823" s="35"/>
    </row>
    <row r="824" spans="1:10" ht="10.5">
      <c r="A824" s="173">
        <v>256208</v>
      </c>
      <c r="B824" s="57">
        <v>38855</v>
      </c>
      <c r="C824" s="59">
        <v>512000</v>
      </c>
      <c r="D824" s="58">
        <f>VLOOKUP(C824,Comptes!$A$2:$B$60,2,FALSE)</f>
        <v>0</v>
      </c>
      <c r="E824" s="60">
        <v>706100</v>
      </c>
      <c r="F824" s="58">
        <f>VLOOKUP(E824,Comptes!$A$2:$B$60,2,FALSE)</f>
        <v>0</v>
      </c>
      <c r="G824" s="36" t="s">
        <v>170</v>
      </c>
      <c r="H824" s="59" t="s">
        <v>513</v>
      </c>
      <c r="I824" s="68">
        <v>5.5</v>
      </c>
      <c r="J824" s="64"/>
    </row>
    <row r="825" spans="1:10" ht="10.5">
      <c r="A825" s="173">
        <v>256208</v>
      </c>
      <c r="B825" s="57">
        <v>38855</v>
      </c>
      <c r="C825" s="59">
        <v>512000</v>
      </c>
      <c r="D825" s="58">
        <f>VLOOKUP(C825,Comptes!$A$2:$B$60,2,FALSE)</f>
        <v>0</v>
      </c>
      <c r="E825" s="60">
        <v>706420</v>
      </c>
      <c r="F825" s="58">
        <f>VLOOKUP(E825,Comptes!$A$2:$B$60,2,FALSE)</f>
        <v>0</v>
      </c>
      <c r="G825" s="36" t="s">
        <v>170</v>
      </c>
      <c r="H825" s="59" t="s">
        <v>513</v>
      </c>
      <c r="I825" s="68">
        <v>145</v>
      </c>
      <c r="J825" s="64"/>
    </row>
    <row r="826" spans="1:10" ht="10.5">
      <c r="A826" s="173">
        <v>256208</v>
      </c>
      <c r="B826" s="57">
        <v>38855</v>
      </c>
      <c r="C826" s="59">
        <v>512000</v>
      </c>
      <c r="D826" s="58">
        <f>VLOOKUP(C826,Comptes!$A$2:$B$60,2,FALSE)</f>
        <v>0</v>
      </c>
      <c r="E826" s="60">
        <v>706100</v>
      </c>
      <c r="F826" s="58">
        <f>VLOOKUP(E826,Comptes!$A$2:$B$60,2,FALSE)</f>
        <v>0</v>
      </c>
      <c r="G826" s="36" t="s">
        <v>164</v>
      </c>
      <c r="H826" s="59" t="s">
        <v>513</v>
      </c>
      <c r="I826" s="68">
        <v>496.2</v>
      </c>
      <c r="J826" s="64"/>
    </row>
    <row r="827" spans="1:10" ht="10.5">
      <c r="A827" s="173">
        <v>256208</v>
      </c>
      <c r="B827" s="57">
        <v>38855</v>
      </c>
      <c r="C827" s="59">
        <v>512000</v>
      </c>
      <c r="D827" s="58">
        <f>VLOOKUP(C827,Comptes!$A$2:$B$60,2,FALSE)</f>
        <v>0</v>
      </c>
      <c r="E827" s="60">
        <v>706420</v>
      </c>
      <c r="F827" s="58">
        <f>VLOOKUP(E827,Comptes!$A$2:$B$60,2,FALSE)</f>
        <v>0</v>
      </c>
      <c r="G827" s="36" t="s">
        <v>164</v>
      </c>
      <c r="H827" s="59" t="s">
        <v>513</v>
      </c>
      <c r="I827" s="68">
        <v>80</v>
      </c>
      <c r="J827" s="64"/>
    </row>
    <row r="828" spans="1:10" ht="10.5">
      <c r="A828" s="173">
        <v>256209</v>
      </c>
      <c r="B828" s="57">
        <v>38868</v>
      </c>
      <c r="C828" s="60">
        <v>512000</v>
      </c>
      <c r="D828" s="58">
        <f>VLOOKUP(C828,Comptes!$A$2:$B$60,2,FALSE)</f>
        <v>0</v>
      </c>
      <c r="E828" s="60">
        <v>754000</v>
      </c>
      <c r="F828" s="58">
        <f>VLOOKUP(E828,Comptes!$A$2:$B$60,2,FALSE)</f>
        <v>0</v>
      </c>
      <c r="G828" s="59" t="s">
        <v>171</v>
      </c>
      <c r="H828" s="59" t="s">
        <v>513</v>
      </c>
      <c r="I828" s="61">
        <v>15.15</v>
      </c>
      <c r="J828" s="64"/>
    </row>
    <row r="829" spans="1:9" ht="10.5">
      <c r="A829" s="173">
        <v>256210</v>
      </c>
      <c r="B829" s="57">
        <v>38908</v>
      </c>
      <c r="C829" s="60">
        <v>616000</v>
      </c>
      <c r="D829" s="58">
        <f>VLOOKUP(C829,Comptes!$A$2:$B$60,2,FALSE)</f>
        <v>0</v>
      </c>
      <c r="E829" s="62">
        <v>512000</v>
      </c>
      <c r="F829" s="58">
        <f>VLOOKUP(E829,Comptes!$A$2:$B$60,2,FALSE)</f>
        <v>0</v>
      </c>
      <c r="G829" s="36" t="s">
        <v>536</v>
      </c>
      <c r="H829" s="59" t="s">
        <v>537</v>
      </c>
      <c r="I829" s="37">
        <v>2325.78</v>
      </c>
    </row>
    <row r="830" spans="1:9" ht="10.5">
      <c r="A830" s="173">
        <v>256211</v>
      </c>
      <c r="B830" s="57">
        <v>38908</v>
      </c>
      <c r="C830" s="60">
        <v>616000</v>
      </c>
      <c r="D830" s="58">
        <f>VLOOKUP(C830,Comptes!$A$2:$B$60,2,FALSE)</f>
        <v>0</v>
      </c>
      <c r="E830" s="62">
        <v>512000</v>
      </c>
      <c r="F830" s="58">
        <f>VLOOKUP(E830,Comptes!$A$2:$B$60,2,FALSE)</f>
        <v>0</v>
      </c>
      <c r="G830" s="36" t="s">
        <v>538</v>
      </c>
      <c r="H830" s="59" t="s">
        <v>537</v>
      </c>
      <c r="I830" s="37">
        <v>335.16</v>
      </c>
    </row>
    <row r="831" spans="1:9" ht="10.5">
      <c r="A831" s="173">
        <v>256212</v>
      </c>
      <c r="B831" s="57">
        <v>38898</v>
      </c>
      <c r="C831" s="60">
        <v>606700</v>
      </c>
      <c r="D831" s="58">
        <f>VLOOKUP(C831,Comptes!$A$2:$B$60,2,FALSE)</f>
        <v>0</v>
      </c>
      <c r="E831" s="62">
        <v>512000</v>
      </c>
      <c r="F831" s="58">
        <f>VLOOKUP(E831,Comptes!$A$2:$B$60,2,FALSE)</f>
        <v>0</v>
      </c>
      <c r="G831" s="59" t="s">
        <v>539</v>
      </c>
      <c r="H831" s="59" t="s">
        <v>530</v>
      </c>
      <c r="I831" s="37">
        <v>7.85</v>
      </c>
    </row>
    <row r="832" spans="1:9" ht="10.5">
      <c r="A832" s="173">
        <v>256212</v>
      </c>
      <c r="B832" s="57">
        <v>38898</v>
      </c>
      <c r="C832" s="60">
        <v>606700</v>
      </c>
      <c r="D832" s="58">
        <f>VLOOKUP(C832,Comptes!$A$2:$B$60,2,FALSE)</f>
        <v>0</v>
      </c>
      <c r="E832" s="62">
        <v>512000</v>
      </c>
      <c r="F832" s="58">
        <f>VLOOKUP(E832,Comptes!$A$2:$B$60,2,FALSE)</f>
        <v>0</v>
      </c>
      <c r="G832" s="59" t="s">
        <v>540</v>
      </c>
      <c r="H832" s="59" t="s">
        <v>530</v>
      </c>
      <c r="I832" s="37">
        <v>167.26</v>
      </c>
    </row>
    <row r="833" spans="1:10" ht="10.5">
      <c r="A833" s="173">
        <v>256213</v>
      </c>
      <c r="B833" s="57">
        <v>38908</v>
      </c>
      <c r="C833" s="60">
        <v>615000</v>
      </c>
      <c r="D833" s="58">
        <f>VLOOKUP(C833,Comptes!$A$2:$B$60,2,FALSE)</f>
        <v>0</v>
      </c>
      <c r="E833" s="60">
        <v>512000</v>
      </c>
      <c r="F833" s="58">
        <f>VLOOKUP(E833,Comptes!$A$2:$B$60,2,FALSE)</f>
        <v>0</v>
      </c>
      <c r="G833" s="59" t="s">
        <v>541</v>
      </c>
      <c r="H833" s="59" t="s">
        <v>533</v>
      </c>
      <c r="I833" s="61">
        <v>25.74</v>
      </c>
      <c r="J833" s="64"/>
    </row>
    <row r="834" spans="1:10" ht="10.5">
      <c r="A834" s="173">
        <v>256214</v>
      </c>
      <c r="B834" s="57">
        <v>38910</v>
      </c>
      <c r="C834" s="60">
        <v>626500</v>
      </c>
      <c r="D834" s="58">
        <f>VLOOKUP(C834,Comptes!$A$2:$B$60,2,FALSE)</f>
        <v>0</v>
      </c>
      <c r="E834" s="62">
        <v>512000</v>
      </c>
      <c r="F834" s="58">
        <f>VLOOKUP(E834,Comptes!$A$2:$B$60,2,FALSE)</f>
        <v>0</v>
      </c>
      <c r="G834" s="59" t="s">
        <v>178</v>
      </c>
      <c r="H834" s="59" t="s">
        <v>530</v>
      </c>
      <c r="I834" s="61">
        <v>182.4</v>
      </c>
      <c r="J834" s="66"/>
    </row>
    <row r="835" spans="1:10" ht="10.5">
      <c r="A835" s="173">
        <v>256214</v>
      </c>
      <c r="B835" s="57">
        <v>38910</v>
      </c>
      <c r="C835" s="60">
        <v>626500</v>
      </c>
      <c r="D835" s="58">
        <f>VLOOKUP(C835,Comptes!$A$2:$B$60,2,FALSE)</f>
        <v>0</v>
      </c>
      <c r="E835" s="62">
        <v>512000</v>
      </c>
      <c r="F835" s="58">
        <f>VLOOKUP(E835,Comptes!$A$2:$B$60,2,FALSE)</f>
        <v>0</v>
      </c>
      <c r="G835" s="59" t="s">
        <v>178</v>
      </c>
      <c r="H835" s="59" t="s">
        <v>533</v>
      </c>
      <c r="I835" s="61">
        <v>2.92</v>
      </c>
      <c r="J835" s="64"/>
    </row>
    <row r="836" spans="1:10" ht="10.5">
      <c r="A836" s="173">
        <v>256215</v>
      </c>
      <c r="B836" s="57">
        <v>38908</v>
      </c>
      <c r="C836" s="60">
        <v>512000</v>
      </c>
      <c r="D836" s="58">
        <f>VLOOKUP(C836,Comptes!$A$2:$B$60,2,FALSE)</f>
        <v>0</v>
      </c>
      <c r="E836" s="62">
        <v>706210</v>
      </c>
      <c r="F836" s="58">
        <f>VLOOKUP(E836,Comptes!$A$2:$B$60,2,FALSE)</f>
        <v>0</v>
      </c>
      <c r="G836" s="59" t="s">
        <v>170</v>
      </c>
      <c r="H836" s="59" t="s">
        <v>530</v>
      </c>
      <c r="I836" s="61">
        <f>306+44</f>
        <v>350</v>
      </c>
      <c r="J836" s="64"/>
    </row>
    <row r="837" spans="1:10" ht="10.5">
      <c r="A837" s="173">
        <v>256215</v>
      </c>
      <c r="B837" s="57">
        <v>38908</v>
      </c>
      <c r="C837" s="60">
        <v>512000</v>
      </c>
      <c r="D837" s="58">
        <f>VLOOKUP(C837,Comptes!$A$2:$B$60,2,FALSE)</f>
        <v>0</v>
      </c>
      <c r="E837" s="62">
        <v>706210</v>
      </c>
      <c r="F837" s="58">
        <f>VLOOKUP(E837,Comptes!$A$2:$B$60,2,FALSE)</f>
        <v>0</v>
      </c>
      <c r="G837" s="59" t="s">
        <v>170</v>
      </c>
      <c r="H837" s="59" t="s">
        <v>530</v>
      </c>
      <c r="I837" s="61">
        <v>1000</v>
      </c>
      <c r="J837" s="64"/>
    </row>
    <row r="838" spans="1:10" ht="10.5">
      <c r="A838" s="76">
        <v>256215</v>
      </c>
      <c r="B838" s="70">
        <v>38908</v>
      </c>
      <c r="C838" s="63">
        <v>511200</v>
      </c>
      <c r="D838" s="58">
        <f>VLOOKUP(C838,Comptes!$A$2:$B$60,2,FALSE)</f>
        <v>0</v>
      </c>
      <c r="E838" s="63">
        <v>512000</v>
      </c>
      <c r="F838" s="58">
        <f>VLOOKUP(E838,Comptes!$A$2:$B$60,2,FALSE)</f>
        <v>0</v>
      </c>
      <c r="G838" s="63" t="s">
        <v>170</v>
      </c>
      <c r="H838" s="63" t="s">
        <v>530</v>
      </c>
      <c r="I838" s="178">
        <v>44</v>
      </c>
      <c r="J838" s="55"/>
    </row>
    <row r="839" spans="1:10" ht="10.5">
      <c r="A839" s="173">
        <v>256215</v>
      </c>
      <c r="B839" s="57">
        <v>38908</v>
      </c>
      <c r="C839" s="62">
        <v>530000</v>
      </c>
      <c r="D839" s="58">
        <f>VLOOKUP(C839,Comptes!$A$2:$B$60,2,FALSE)</f>
        <v>0</v>
      </c>
      <c r="E839" s="60">
        <v>706230</v>
      </c>
      <c r="F839" s="58">
        <f>VLOOKUP(E839,Comptes!$A$2:$B$60,2,FALSE)</f>
        <v>0</v>
      </c>
      <c r="G839" s="59"/>
      <c r="H839" s="63"/>
      <c r="I839" s="68">
        <v>60</v>
      </c>
      <c r="J839" s="35"/>
    </row>
    <row r="840" spans="1:10" ht="10.5">
      <c r="A840" s="173">
        <v>256216</v>
      </c>
      <c r="B840" s="57">
        <v>38910</v>
      </c>
      <c r="C840" s="62">
        <v>606300</v>
      </c>
      <c r="D840" s="58">
        <f>VLOOKUP(C840,Comptes!$A$2:$B$60,2,FALSE)</f>
        <v>0</v>
      </c>
      <c r="E840" s="60">
        <v>512000</v>
      </c>
      <c r="F840" s="58">
        <f>VLOOKUP(E840,Comptes!$A$2:$B$60,2,FALSE)</f>
        <v>0</v>
      </c>
      <c r="G840" s="59"/>
      <c r="H840" s="59" t="s">
        <v>533</v>
      </c>
      <c r="I840" s="68">
        <v>185.82</v>
      </c>
      <c r="J840" s="35"/>
    </row>
    <row r="841" spans="1:10" ht="10.5">
      <c r="A841" s="173">
        <v>256216</v>
      </c>
      <c r="B841" s="57">
        <v>38910</v>
      </c>
      <c r="C841" s="62">
        <v>606300</v>
      </c>
      <c r="D841" s="58">
        <f>VLOOKUP(C841,Comptes!$A$2:$B$60,2,FALSE)</f>
        <v>0</v>
      </c>
      <c r="E841" s="60">
        <v>530000</v>
      </c>
      <c r="F841" s="58">
        <f>VLOOKUP(E841,Comptes!$A$2:$B$60,2,FALSE)</f>
        <v>0</v>
      </c>
      <c r="G841" s="59"/>
      <c r="H841" s="63"/>
      <c r="I841" s="68">
        <v>23.5</v>
      </c>
      <c r="J841" s="35"/>
    </row>
    <row r="842" spans="1:10" ht="10.5">
      <c r="A842" s="173">
        <v>256216</v>
      </c>
      <c r="B842" s="57">
        <v>38910</v>
      </c>
      <c r="C842" s="62">
        <v>606700</v>
      </c>
      <c r="D842" s="58">
        <f>VLOOKUP(C842,Comptes!$A$2:$B$60,2,FALSE)</f>
        <v>0</v>
      </c>
      <c r="E842" s="60">
        <v>530000</v>
      </c>
      <c r="F842" s="58">
        <f>VLOOKUP(E842,Comptes!$A$2:$B$60,2,FALSE)</f>
        <v>0</v>
      </c>
      <c r="G842" s="59"/>
      <c r="H842" s="63"/>
      <c r="I842" s="68">
        <v>24.8</v>
      </c>
      <c r="J842" s="35"/>
    </row>
    <row r="843" spans="1:10" ht="10.5">
      <c r="A843" s="173">
        <v>256216</v>
      </c>
      <c r="B843" s="57">
        <v>38910</v>
      </c>
      <c r="C843" s="62">
        <v>606700</v>
      </c>
      <c r="D843" s="58">
        <f>VLOOKUP(C843,Comptes!$A$2:$B$60,2,FALSE)</f>
        <v>0</v>
      </c>
      <c r="E843" s="60">
        <v>512000</v>
      </c>
      <c r="F843" s="58">
        <f>VLOOKUP(E843,Comptes!$A$2:$B$60,2,FALSE)</f>
        <v>0</v>
      </c>
      <c r="G843" s="59" t="s">
        <v>542</v>
      </c>
      <c r="H843" s="59" t="s">
        <v>533</v>
      </c>
      <c r="I843" s="68">
        <v>227.71</v>
      </c>
      <c r="J843" s="35"/>
    </row>
    <row r="844" spans="1:10" ht="10.5">
      <c r="A844" s="173">
        <v>256216</v>
      </c>
      <c r="B844" s="57">
        <v>38910</v>
      </c>
      <c r="C844" s="62">
        <v>606700</v>
      </c>
      <c r="D844" s="58">
        <f>VLOOKUP(C844,Comptes!$A$2:$B$60,2,FALSE)</f>
        <v>0</v>
      </c>
      <c r="E844" s="60">
        <v>512000</v>
      </c>
      <c r="F844" s="58">
        <f>VLOOKUP(E844,Comptes!$A$2:$B$60,2,FALSE)</f>
        <v>0</v>
      </c>
      <c r="G844" s="59" t="s">
        <v>543</v>
      </c>
      <c r="H844" s="59" t="s">
        <v>533</v>
      </c>
      <c r="I844" s="68">
        <v>50</v>
      </c>
      <c r="J844" s="35"/>
    </row>
    <row r="845" spans="1:10" ht="10.5">
      <c r="A845" s="173">
        <v>256217</v>
      </c>
      <c r="B845" s="57">
        <v>38911</v>
      </c>
      <c r="C845" s="60">
        <v>606400</v>
      </c>
      <c r="D845" s="58">
        <f>VLOOKUP(C845,Comptes!$A$2:$B$60,2,FALSE)</f>
        <v>0</v>
      </c>
      <c r="E845" s="62">
        <v>512000</v>
      </c>
      <c r="F845" s="58">
        <f>VLOOKUP(E845,Comptes!$A$2:$B$60,2,FALSE)</f>
        <v>0</v>
      </c>
      <c r="G845" s="59" t="s">
        <v>544</v>
      </c>
      <c r="H845" s="59" t="s">
        <v>533</v>
      </c>
      <c r="I845" s="61">
        <v>114.82</v>
      </c>
      <c r="J845" s="64"/>
    </row>
    <row r="846" spans="1:10" ht="10.5">
      <c r="A846" s="173">
        <v>256218</v>
      </c>
      <c r="B846" s="57">
        <v>38911</v>
      </c>
      <c r="C846" s="60">
        <v>625000</v>
      </c>
      <c r="D846" s="58">
        <f>VLOOKUP(C846,Comptes!$A$2:$B$60,2,FALSE)</f>
        <v>0</v>
      </c>
      <c r="E846" s="62">
        <v>530000</v>
      </c>
      <c r="F846" s="58">
        <f>VLOOKUP(E846,Comptes!$A$2:$B$60,2,FALSE)</f>
        <v>0</v>
      </c>
      <c r="G846" s="59"/>
      <c r="H846" s="63"/>
      <c r="I846" s="61">
        <v>422.4</v>
      </c>
      <c r="J846" s="64"/>
    </row>
    <row r="847" spans="1:10" ht="10.5">
      <c r="A847" s="173">
        <v>256219</v>
      </c>
      <c r="B847" s="57">
        <v>38902</v>
      </c>
      <c r="C847" s="59">
        <v>512000</v>
      </c>
      <c r="D847" s="58">
        <f>VLOOKUP(C847,Comptes!$A$2:$B$60,2,FALSE)</f>
        <v>0</v>
      </c>
      <c r="E847" s="60">
        <v>706100</v>
      </c>
      <c r="F847" s="58">
        <f>VLOOKUP(E847,Comptes!$A$2:$B$60,2,FALSE)</f>
        <v>0</v>
      </c>
      <c r="G847" s="36" t="s">
        <v>170</v>
      </c>
      <c r="H847" s="59" t="s">
        <v>530</v>
      </c>
      <c r="I847" s="68">
        <v>191</v>
      </c>
      <c r="J847" s="64"/>
    </row>
    <row r="848" spans="1:10" ht="10.5">
      <c r="A848" s="173">
        <v>256219</v>
      </c>
      <c r="B848" s="57">
        <v>38902</v>
      </c>
      <c r="C848" s="59">
        <v>512000</v>
      </c>
      <c r="D848" s="58">
        <f>VLOOKUP(C848,Comptes!$A$2:$B$60,2,FALSE)</f>
        <v>0</v>
      </c>
      <c r="E848" s="60">
        <v>706420</v>
      </c>
      <c r="F848" s="58">
        <f>VLOOKUP(E848,Comptes!$A$2:$B$60,2,FALSE)</f>
        <v>0</v>
      </c>
      <c r="G848" s="36" t="s">
        <v>164</v>
      </c>
      <c r="H848" s="59" t="s">
        <v>530</v>
      </c>
      <c r="I848" s="68">
        <v>70</v>
      </c>
      <c r="J848" s="64"/>
    </row>
    <row r="849" spans="1:10" ht="10.5">
      <c r="A849" s="173">
        <v>256219</v>
      </c>
      <c r="B849" s="57">
        <v>38902</v>
      </c>
      <c r="C849" s="59">
        <v>512000</v>
      </c>
      <c r="D849" s="58">
        <f>VLOOKUP(C849,Comptes!$A$2:$B$60,2,FALSE)</f>
        <v>0</v>
      </c>
      <c r="E849" s="60">
        <v>706100</v>
      </c>
      <c r="F849" s="58">
        <f>VLOOKUP(E849,Comptes!$A$2:$B$60,2,FALSE)</f>
        <v>0</v>
      </c>
      <c r="G849" s="36" t="s">
        <v>164</v>
      </c>
      <c r="H849" s="59" t="s">
        <v>530</v>
      </c>
      <c r="I849" s="68">
        <v>105</v>
      </c>
      <c r="J849" s="64"/>
    </row>
    <row r="850" spans="1:10" ht="10.5">
      <c r="A850" s="173">
        <v>256220</v>
      </c>
      <c r="B850" s="57">
        <v>38910</v>
      </c>
      <c r="C850" s="59">
        <v>512000</v>
      </c>
      <c r="D850" s="58">
        <f>VLOOKUP(C850,Comptes!$A$2:$B$60,2,FALSE)</f>
        <v>0</v>
      </c>
      <c r="E850" s="60">
        <v>706420</v>
      </c>
      <c r="F850" s="58">
        <f>VLOOKUP(E850,Comptes!$A$2:$B$60,2,FALSE)</f>
        <v>0</v>
      </c>
      <c r="G850" s="36" t="s">
        <v>170</v>
      </c>
      <c r="H850" s="59" t="s">
        <v>530</v>
      </c>
      <c r="I850" s="68">
        <v>315</v>
      </c>
      <c r="J850" s="64"/>
    </row>
    <row r="851" spans="1:10" ht="10.5">
      <c r="A851" s="180">
        <v>256220</v>
      </c>
      <c r="B851" s="70">
        <v>38910</v>
      </c>
      <c r="C851" s="63">
        <v>512000</v>
      </c>
      <c r="D851" s="58">
        <f>VLOOKUP(C851,Comptes!$A$2:$B$60,2,FALSE)</f>
        <v>0</v>
      </c>
      <c r="E851" s="71">
        <v>706420</v>
      </c>
      <c r="F851" s="58">
        <f>VLOOKUP(E851,Comptes!$A$2:$B$60,2,FALSE)</f>
        <v>0</v>
      </c>
      <c r="G851" s="63" t="s">
        <v>164</v>
      </c>
      <c r="H851" s="63"/>
      <c r="I851" s="182">
        <v>30</v>
      </c>
      <c r="J851" s="55"/>
    </row>
    <row r="852" spans="1:10" ht="10.5">
      <c r="A852" s="173">
        <v>256221</v>
      </c>
      <c r="B852" s="57">
        <v>38910</v>
      </c>
      <c r="C852" s="60">
        <v>512000</v>
      </c>
      <c r="D852" s="58">
        <f>VLOOKUP(C852,Comptes!$A$2:$B$60,2,FALSE)</f>
        <v>0</v>
      </c>
      <c r="E852" s="59">
        <v>706320</v>
      </c>
      <c r="F852" s="58">
        <f>VLOOKUP(E852,Comptes!$A$2:$B$60,2,FALSE)</f>
        <v>0</v>
      </c>
      <c r="G852" s="59" t="s">
        <v>171</v>
      </c>
      <c r="H852" s="59" t="s">
        <v>530</v>
      </c>
      <c r="I852" s="68">
        <v>237</v>
      </c>
      <c r="J852" s="35"/>
    </row>
    <row r="853" spans="1:10" ht="10.5">
      <c r="A853" s="65">
        <v>256173</v>
      </c>
      <c r="B853" s="57">
        <v>38911</v>
      </c>
      <c r="C853" s="60">
        <v>606110</v>
      </c>
      <c r="D853" s="58">
        <f>VLOOKUP(C853,Comptes!$A$2:$B$60,2,FALSE)</f>
        <v>0</v>
      </c>
      <c r="E853" s="59">
        <v>512000</v>
      </c>
      <c r="F853" s="58">
        <f>VLOOKUP(E853,Comptes!$A$2:$B$60,2,FALSE)</f>
        <v>0</v>
      </c>
      <c r="G853" s="36" t="s">
        <v>178</v>
      </c>
      <c r="H853" s="59" t="s">
        <v>530</v>
      </c>
      <c r="I853" s="37">
        <v>147</v>
      </c>
      <c r="J853" s="35"/>
    </row>
    <row r="854" spans="1:10" ht="10.5">
      <c r="A854" s="173">
        <v>256222</v>
      </c>
      <c r="B854" s="57">
        <v>38915</v>
      </c>
      <c r="C854" s="60">
        <v>622600</v>
      </c>
      <c r="D854" s="58">
        <f>VLOOKUP(C854,Comptes!$A$2:$B$60,2,FALSE)</f>
        <v>0</v>
      </c>
      <c r="E854" s="62">
        <v>512000</v>
      </c>
      <c r="F854" s="58">
        <f>VLOOKUP(E854,Comptes!$A$2:$B$60,2,FALSE)</f>
        <v>0</v>
      </c>
      <c r="G854" s="59" t="s">
        <v>545</v>
      </c>
      <c r="H854" s="59" t="s">
        <v>533</v>
      </c>
      <c r="I854" s="61">
        <v>760</v>
      </c>
      <c r="J854" s="64"/>
    </row>
    <row r="855" spans="1:10" ht="10.5">
      <c r="A855" s="173">
        <v>256222</v>
      </c>
      <c r="B855" s="57">
        <v>38915</v>
      </c>
      <c r="C855" s="60">
        <v>622600</v>
      </c>
      <c r="D855" s="58">
        <f>VLOOKUP(C855,Comptes!$A$2:$B$60,2,FALSE)</f>
        <v>0</v>
      </c>
      <c r="E855" s="62">
        <v>512000</v>
      </c>
      <c r="F855" s="58">
        <f>VLOOKUP(E855,Comptes!$A$2:$B$60,2,FALSE)</f>
        <v>0</v>
      </c>
      <c r="G855" s="59" t="s">
        <v>546</v>
      </c>
      <c r="H855" s="59" t="s">
        <v>533</v>
      </c>
      <c r="I855" s="61">
        <v>760</v>
      </c>
      <c r="J855" s="64"/>
    </row>
    <row r="856" spans="1:10" ht="10.5">
      <c r="A856" s="173">
        <v>256223</v>
      </c>
      <c r="B856" s="57">
        <v>38915</v>
      </c>
      <c r="C856" s="62">
        <v>512000</v>
      </c>
      <c r="D856" s="58">
        <f>VLOOKUP(C856,Comptes!$A$2:$B$60,2,FALSE)</f>
        <v>0</v>
      </c>
      <c r="E856" s="60">
        <v>706210</v>
      </c>
      <c r="F856" s="58">
        <f>VLOOKUP(E856,Comptes!$A$2:$B$60,2,FALSE)</f>
        <v>0</v>
      </c>
      <c r="G856" s="59" t="s">
        <v>170</v>
      </c>
      <c r="H856" s="59" t="s">
        <v>533</v>
      </c>
      <c r="I856" s="61">
        <v>690</v>
      </c>
      <c r="J856" s="172"/>
    </row>
    <row r="857" spans="1:10" ht="10.5">
      <c r="A857" s="173">
        <v>256223</v>
      </c>
      <c r="B857" s="57">
        <v>38915</v>
      </c>
      <c r="C857" s="62">
        <v>512000</v>
      </c>
      <c r="D857" s="58">
        <f>VLOOKUP(C857,Comptes!$A$2:$B$60,2,FALSE)</f>
        <v>0</v>
      </c>
      <c r="E857" s="60">
        <v>706220</v>
      </c>
      <c r="F857" s="58">
        <f>VLOOKUP(E857,Comptes!$A$2:$B$60,2,FALSE)</f>
        <v>0</v>
      </c>
      <c r="G857" s="59" t="s">
        <v>170</v>
      </c>
      <c r="H857" s="59" t="s">
        <v>533</v>
      </c>
      <c r="I857" s="61">
        <v>592</v>
      </c>
      <c r="J857" s="64"/>
    </row>
    <row r="858" spans="1:10" ht="10.5">
      <c r="A858" s="173">
        <v>256223</v>
      </c>
      <c r="B858" s="57">
        <v>38915</v>
      </c>
      <c r="C858" s="62">
        <v>512000</v>
      </c>
      <c r="D858" s="58">
        <f>VLOOKUP(C858,Comptes!$A$2:$B$60,2,FALSE)</f>
        <v>0</v>
      </c>
      <c r="E858" s="60">
        <v>706230</v>
      </c>
      <c r="F858" s="58">
        <f>VLOOKUP(E858,Comptes!$A$2:$B$60,2,FALSE)</f>
        <v>0</v>
      </c>
      <c r="G858" s="59" t="s">
        <v>170</v>
      </c>
      <c r="H858" s="59" t="s">
        <v>533</v>
      </c>
      <c r="I858" s="61">
        <v>1717</v>
      </c>
      <c r="J858" s="64"/>
    </row>
    <row r="859" spans="1:10" ht="10.5">
      <c r="A859" s="173">
        <v>256223</v>
      </c>
      <c r="B859" s="57">
        <v>38915</v>
      </c>
      <c r="C859" s="62">
        <v>512000</v>
      </c>
      <c r="D859" s="58">
        <f>VLOOKUP(C859,Comptes!$A$2:$B$60,2,FALSE)</f>
        <v>0</v>
      </c>
      <c r="E859" s="60">
        <v>756000</v>
      </c>
      <c r="F859" s="58">
        <f>VLOOKUP(E859,Comptes!$A$2:$B$60,2,FALSE)</f>
        <v>0</v>
      </c>
      <c r="G859" s="59" t="s">
        <v>170</v>
      </c>
      <c r="H859" s="59" t="s">
        <v>533</v>
      </c>
      <c r="I859" s="61">
        <v>57</v>
      </c>
      <c r="J859" s="64"/>
    </row>
    <row r="860" spans="1:10" ht="10.5">
      <c r="A860" s="173">
        <v>256223</v>
      </c>
      <c r="B860" s="57">
        <v>38915</v>
      </c>
      <c r="C860" s="62">
        <v>512000</v>
      </c>
      <c r="D860" s="58">
        <f>VLOOKUP(C860,Comptes!$A$2:$B$60,2,FALSE)</f>
        <v>0</v>
      </c>
      <c r="E860" s="60">
        <v>708000</v>
      </c>
      <c r="F860" s="58">
        <f>VLOOKUP(E860,Comptes!$A$2:$B$60,2,FALSE)</f>
        <v>0</v>
      </c>
      <c r="G860" s="59" t="s">
        <v>170</v>
      </c>
      <c r="H860" s="59" t="s">
        <v>533</v>
      </c>
      <c r="I860" s="61">
        <v>18</v>
      </c>
      <c r="J860" s="64"/>
    </row>
    <row r="861" spans="1:10" ht="10.5">
      <c r="A861" s="173">
        <v>256223</v>
      </c>
      <c r="B861" s="57">
        <v>38915</v>
      </c>
      <c r="C861" s="62">
        <v>530000</v>
      </c>
      <c r="D861" s="58">
        <f>VLOOKUP(C861,Comptes!$A$2:$B$60,2,FALSE)</f>
        <v>0</v>
      </c>
      <c r="E861" s="60">
        <v>706210</v>
      </c>
      <c r="F861" s="58">
        <f>VLOOKUP(E861,Comptes!$A$2:$B$60,2,FALSE)</f>
        <v>0</v>
      </c>
      <c r="G861" s="59"/>
      <c r="H861" s="63"/>
      <c r="I861" s="61">
        <v>149</v>
      </c>
      <c r="J861" s="64"/>
    </row>
    <row r="862" spans="1:10" ht="10.5">
      <c r="A862" s="173">
        <v>256223</v>
      </c>
      <c r="B862" s="57">
        <v>38915</v>
      </c>
      <c r="C862" s="62">
        <v>530000</v>
      </c>
      <c r="D862" s="58">
        <f>VLOOKUP(C862,Comptes!$A$2:$B$60,2,FALSE)</f>
        <v>0</v>
      </c>
      <c r="E862" s="60">
        <v>706220</v>
      </c>
      <c r="F862" s="58">
        <f>VLOOKUP(E862,Comptes!$A$2:$B$60,2,FALSE)</f>
        <v>0</v>
      </c>
      <c r="G862" s="59"/>
      <c r="H862" s="63"/>
      <c r="I862" s="61">
        <v>122</v>
      </c>
      <c r="J862" s="64"/>
    </row>
    <row r="863" spans="1:10" ht="10.5">
      <c r="A863" s="173">
        <v>256223</v>
      </c>
      <c r="B863" s="57">
        <v>38915</v>
      </c>
      <c r="C863" s="62">
        <v>530000</v>
      </c>
      <c r="D863" s="58">
        <f>VLOOKUP(C863,Comptes!$A$2:$B$60,2,FALSE)</f>
        <v>0</v>
      </c>
      <c r="E863" s="60">
        <v>706230</v>
      </c>
      <c r="F863" s="58">
        <f>VLOOKUP(E863,Comptes!$A$2:$B$60,2,FALSE)</f>
        <v>0</v>
      </c>
      <c r="G863" s="59"/>
      <c r="H863" s="63"/>
      <c r="I863" s="61">
        <v>509</v>
      </c>
      <c r="J863" s="64"/>
    </row>
    <row r="864" spans="1:10" ht="10.5">
      <c r="A864" s="173">
        <v>256223</v>
      </c>
      <c r="B864" s="57">
        <v>38915</v>
      </c>
      <c r="C864" s="62">
        <v>530000</v>
      </c>
      <c r="D864" s="58">
        <f>VLOOKUP(C864,Comptes!$A$2:$B$60,2,FALSE)</f>
        <v>0</v>
      </c>
      <c r="E864" s="60">
        <v>756000</v>
      </c>
      <c r="F864" s="58">
        <f>VLOOKUP(E864,Comptes!$A$2:$B$60,2,FALSE)</f>
        <v>0</v>
      </c>
      <c r="G864" s="59"/>
      <c r="H864" s="63"/>
      <c r="I864" s="61">
        <v>11</v>
      </c>
      <c r="J864" s="64"/>
    </row>
    <row r="865" spans="1:10" ht="10.5">
      <c r="A865" s="173">
        <v>256224</v>
      </c>
      <c r="B865" s="57">
        <v>38911</v>
      </c>
      <c r="C865" s="60">
        <v>626500</v>
      </c>
      <c r="D865" s="58">
        <f>VLOOKUP(C865,Comptes!$A$2:$B$60,2,FALSE)</f>
        <v>0</v>
      </c>
      <c r="E865" s="59">
        <v>512000</v>
      </c>
      <c r="F865" s="58">
        <f>VLOOKUP(E865,Comptes!$A$2:$B$60,2,FALSE)</f>
        <v>0</v>
      </c>
      <c r="G865" s="36" t="s">
        <v>178</v>
      </c>
      <c r="H865" s="59" t="s">
        <v>533</v>
      </c>
      <c r="I865" s="61">
        <v>19.9</v>
      </c>
      <c r="J865" s="35"/>
    </row>
    <row r="866" spans="1:10" ht="10.5">
      <c r="A866" s="173">
        <v>256225</v>
      </c>
      <c r="B866" s="57">
        <v>38925</v>
      </c>
      <c r="C866" s="60">
        <v>606400</v>
      </c>
      <c r="D866" s="58">
        <f>VLOOKUP(C866,Comptes!$A$2:$B$60,2,FALSE)</f>
        <v>0</v>
      </c>
      <c r="E866" s="62">
        <v>512000</v>
      </c>
      <c r="F866" s="58">
        <f>VLOOKUP(E866,Comptes!$A$2:$B$60,2,FALSE)</f>
        <v>0</v>
      </c>
      <c r="G866" s="59" t="s">
        <v>547</v>
      </c>
      <c r="H866" s="59" t="s">
        <v>548</v>
      </c>
      <c r="I866" s="61">
        <v>688.42</v>
      </c>
      <c r="J866" s="64"/>
    </row>
    <row r="867" spans="1:10" ht="10.5">
      <c r="A867" s="173">
        <v>256226</v>
      </c>
      <c r="B867" s="57">
        <v>38916</v>
      </c>
      <c r="C867" s="60">
        <v>512000</v>
      </c>
      <c r="D867" s="58">
        <f>VLOOKUP(C867,Comptes!$A$2:$B$60,2,FALSE)</f>
        <v>0</v>
      </c>
      <c r="E867" s="59">
        <v>706320</v>
      </c>
      <c r="F867" s="58">
        <f>VLOOKUP(E867,Comptes!$A$2:$B$60,2,FALSE)</f>
        <v>0</v>
      </c>
      <c r="G867" s="59" t="s">
        <v>171</v>
      </c>
      <c r="H867" s="59" t="s">
        <v>533</v>
      </c>
      <c r="I867" s="68">
        <v>285</v>
      </c>
      <c r="J867" s="35"/>
    </row>
    <row r="868" spans="1:10" ht="10.5">
      <c r="A868" s="173">
        <v>256227</v>
      </c>
      <c r="B868" s="57">
        <v>38923</v>
      </c>
      <c r="C868" s="60">
        <v>512000</v>
      </c>
      <c r="D868" s="58">
        <f>VLOOKUP(C868,Comptes!$A$2:$B$60,2,FALSE)</f>
        <v>0</v>
      </c>
      <c r="E868" s="59">
        <v>706320</v>
      </c>
      <c r="F868" s="58">
        <f>VLOOKUP(E868,Comptes!$A$2:$B$60,2,FALSE)</f>
        <v>0</v>
      </c>
      <c r="G868" s="59" t="s">
        <v>171</v>
      </c>
      <c r="H868" s="59" t="s">
        <v>533</v>
      </c>
      <c r="I868" s="68">
        <v>237</v>
      </c>
      <c r="J868" s="35"/>
    </row>
    <row r="869" spans="1:10" ht="10.5">
      <c r="A869" s="173">
        <v>256228</v>
      </c>
      <c r="B869" s="57">
        <v>38902</v>
      </c>
      <c r="C869" s="60">
        <v>512000</v>
      </c>
      <c r="D869" s="58">
        <f>VLOOKUP(C869,Comptes!$A$2:$B$60,2,FALSE)</f>
        <v>0</v>
      </c>
      <c r="E869" s="59">
        <v>754000</v>
      </c>
      <c r="F869" s="58">
        <f>VLOOKUP(E869,Comptes!$A$2:$B$60,2,FALSE)</f>
        <v>0</v>
      </c>
      <c r="G869" s="59" t="s">
        <v>171</v>
      </c>
      <c r="H869" s="59" t="s">
        <v>530</v>
      </c>
      <c r="I869" s="61">
        <v>15.24</v>
      </c>
      <c r="J869" s="35"/>
    </row>
    <row r="870" spans="1:10" ht="10.5">
      <c r="A870" s="173">
        <v>256228</v>
      </c>
      <c r="B870" s="57">
        <v>38902</v>
      </c>
      <c r="C870" s="60">
        <v>512000</v>
      </c>
      <c r="D870" s="58">
        <f>VLOOKUP(C870,Comptes!$A$2:$B$60,2,FALSE)</f>
        <v>0</v>
      </c>
      <c r="E870" s="59">
        <v>754000</v>
      </c>
      <c r="F870" s="58">
        <f>VLOOKUP(E870,Comptes!$A$2:$B$60,2,FALSE)</f>
        <v>0</v>
      </c>
      <c r="G870" s="59" t="s">
        <v>171</v>
      </c>
      <c r="H870" s="59" t="s">
        <v>530</v>
      </c>
      <c r="I870" s="61">
        <v>150</v>
      </c>
      <c r="J870" s="64"/>
    </row>
    <row r="871" spans="1:10" ht="10.5">
      <c r="A871" s="173">
        <v>256228</v>
      </c>
      <c r="B871" s="57">
        <v>38908</v>
      </c>
      <c r="C871" s="60">
        <v>512000</v>
      </c>
      <c r="D871" s="58">
        <f>VLOOKUP(C871,Comptes!$A$2:$B$60,2,FALSE)</f>
        <v>0</v>
      </c>
      <c r="E871" s="59">
        <v>754000</v>
      </c>
      <c r="F871" s="58">
        <f>VLOOKUP(E871,Comptes!$A$2:$B$60,2,FALSE)</f>
        <v>0</v>
      </c>
      <c r="G871" s="59" t="s">
        <v>171</v>
      </c>
      <c r="H871" s="59" t="s">
        <v>530</v>
      </c>
      <c r="I871" s="61">
        <v>15</v>
      </c>
      <c r="J871" s="64"/>
    </row>
    <row r="872" spans="1:10" ht="10.5">
      <c r="A872" s="173">
        <v>256229</v>
      </c>
      <c r="B872" s="57">
        <v>38908</v>
      </c>
      <c r="C872" s="60">
        <v>613200</v>
      </c>
      <c r="D872" s="58">
        <f>VLOOKUP(C872,Comptes!$A$2:$B$60,2,FALSE)</f>
        <v>0</v>
      </c>
      <c r="E872" s="62">
        <v>512000</v>
      </c>
      <c r="F872" s="58">
        <f>VLOOKUP(E872,Comptes!$A$2:$B$60,2,FALSE)</f>
        <v>0</v>
      </c>
      <c r="G872" s="59" t="s">
        <v>178</v>
      </c>
      <c r="H872" s="59" t="s">
        <v>530</v>
      </c>
      <c r="I872" s="61">
        <v>792.17</v>
      </c>
      <c r="J872" s="64"/>
    </row>
    <row r="873" spans="1:10" ht="10.5">
      <c r="A873" s="173">
        <v>256230</v>
      </c>
      <c r="B873" s="57">
        <v>38926</v>
      </c>
      <c r="C873" s="60">
        <v>615000</v>
      </c>
      <c r="D873" s="58">
        <f>VLOOKUP(C873,Comptes!$A$2:$B$60,2,FALSE)</f>
        <v>0</v>
      </c>
      <c r="E873" s="59">
        <v>512000</v>
      </c>
      <c r="F873" s="58">
        <f>VLOOKUP(E873,Comptes!$A$2:$B$60,2,FALSE)</f>
        <v>0</v>
      </c>
      <c r="G873" s="59" t="s">
        <v>549</v>
      </c>
      <c r="H873" s="59" t="s">
        <v>534</v>
      </c>
      <c r="I873" s="61">
        <v>356.47</v>
      </c>
      <c r="J873" s="35"/>
    </row>
    <row r="874" spans="1:10" ht="10.5">
      <c r="A874" s="173">
        <v>256231</v>
      </c>
      <c r="B874" s="57">
        <v>38927</v>
      </c>
      <c r="C874" s="60">
        <v>606700</v>
      </c>
      <c r="D874" s="58">
        <f>VLOOKUP(C874,Comptes!$A$2:$B$60,2,FALSE)</f>
        <v>0</v>
      </c>
      <c r="E874" s="59">
        <v>512000</v>
      </c>
      <c r="F874" s="58">
        <f>VLOOKUP(E874,Comptes!$A$2:$B$60,2,FALSE)</f>
        <v>0</v>
      </c>
      <c r="G874" s="59" t="s">
        <v>550</v>
      </c>
      <c r="H874" s="59" t="s">
        <v>534</v>
      </c>
      <c r="I874" s="61">
        <v>100.99</v>
      </c>
      <c r="J874" s="64"/>
    </row>
    <row r="875" spans="1:10" ht="10.5">
      <c r="A875" s="173">
        <v>256232</v>
      </c>
      <c r="B875" s="57">
        <v>38929</v>
      </c>
      <c r="C875" s="60">
        <v>512000</v>
      </c>
      <c r="D875" s="58">
        <f>VLOOKUP(C875,Comptes!$A$2:$B$60,2,FALSE)</f>
        <v>0</v>
      </c>
      <c r="E875" s="60">
        <v>706210</v>
      </c>
      <c r="F875" s="58">
        <f>VLOOKUP(E875,Comptes!$A$2:$B$60,2,FALSE)</f>
        <v>0</v>
      </c>
      <c r="G875" s="59"/>
      <c r="H875" s="59" t="s">
        <v>534</v>
      </c>
      <c r="I875" s="61">
        <v>1515</v>
      </c>
      <c r="J875" s="64"/>
    </row>
    <row r="876" spans="1:10" ht="10.5">
      <c r="A876" s="173">
        <v>256232</v>
      </c>
      <c r="B876" s="57">
        <v>38929</v>
      </c>
      <c r="C876" s="60">
        <v>512000</v>
      </c>
      <c r="D876" s="58">
        <f>VLOOKUP(C876,Comptes!$A$2:$B$60,2,FALSE)</f>
        <v>0</v>
      </c>
      <c r="E876" s="60">
        <v>706230</v>
      </c>
      <c r="F876" s="58">
        <f>VLOOKUP(E876,Comptes!$A$2:$B$60,2,FALSE)</f>
        <v>0</v>
      </c>
      <c r="G876" s="59"/>
      <c r="H876" s="59" t="s">
        <v>534</v>
      </c>
      <c r="I876" s="61">
        <v>805</v>
      </c>
      <c r="J876" s="64"/>
    </row>
    <row r="877" spans="1:10" ht="10.5">
      <c r="A877" s="173">
        <v>256232</v>
      </c>
      <c r="B877" s="57">
        <v>38929</v>
      </c>
      <c r="C877" s="60">
        <v>512000</v>
      </c>
      <c r="D877" s="58">
        <f>VLOOKUP(C877,Comptes!$A$2:$B$60,2,FALSE)</f>
        <v>0</v>
      </c>
      <c r="E877" s="60">
        <v>756000</v>
      </c>
      <c r="F877" s="58">
        <f>VLOOKUP(E877,Comptes!$A$2:$B$60,2,FALSE)</f>
        <v>0</v>
      </c>
      <c r="G877" s="59"/>
      <c r="H877" s="59" t="s">
        <v>534</v>
      </c>
      <c r="I877" s="61">
        <v>153</v>
      </c>
      <c r="J877" s="172"/>
    </row>
    <row r="878" spans="1:10" ht="10.5">
      <c r="A878" s="173">
        <v>256232</v>
      </c>
      <c r="B878" s="57">
        <v>38929</v>
      </c>
      <c r="C878" s="60">
        <v>512000</v>
      </c>
      <c r="D878" s="58">
        <f>VLOOKUP(C878,Comptes!$A$2:$B$60,2,FALSE)</f>
        <v>0</v>
      </c>
      <c r="E878" s="60">
        <v>754000</v>
      </c>
      <c r="F878" s="58">
        <f>VLOOKUP(E878,Comptes!$A$2:$B$60,2,FALSE)</f>
        <v>0</v>
      </c>
      <c r="G878" s="59"/>
      <c r="H878" s="59" t="s">
        <v>534</v>
      </c>
      <c r="I878" s="61">
        <v>300</v>
      </c>
      <c r="J878" s="64"/>
    </row>
    <row r="879" spans="1:10" ht="10.5">
      <c r="A879" s="173">
        <v>256232</v>
      </c>
      <c r="B879" s="57">
        <v>38929</v>
      </c>
      <c r="C879" s="60">
        <v>512000</v>
      </c>
      <c r="D879" s="58">
        <f>VLOOKUP(C879,Comptes!$A$2:$B$60,2,FALSE)</f>
        <v>0</v>
      </c>
      <c r="E879" s="59">
        <v>706320</v>
      </c>
      <c r="F879" s="58">
        <f>VLOOKUP(E879,Comptes!$A$2:$B$60,2,FALSE)</f>
        <v>0</v>
      </c>
      <c r="G879" s="36" t="s">
        <v>170</v>
      </c>
      <c r="H879" s="59" t="s">
        <v>534</v>
      </c>
      <c r="I879" s="61">
        <v>285</v>
      </c>
      <c r="J879" s="35"/>
    </row>
    <row r="880" spans="1:10" ht="10.5">
      <c r="A880" s="173">
        <v>256232</v>
      </c>
      <c r="B880" s="57">
        <v>38929</v>
      </c>
      <c r="C880" s="60">
        <v>512000</v>
      </c>
      <c r="D880" s="58">
        <f>VLOOKUP(C880,Comptes!$A$2:$B$60,2,FALSE)</f>
        <v>0</v>
      </c>
      <c r="E880" s="59">
        <v>706320</v>
      </c>
      <c r="F880" s="58">
        <f>VLOOKUP(E880,Comptes!$A$2:$B$60,2,FALSE)</f>
        <v>0</v>
      </c>
      <c r="G880" s="36" t="s">
        <v>170</v>
      </c>
      <c r="H880" s="59" t="s">
        <v>534</v>
      </c>
      <c r="I880" s="61">
        <v>2077</v>
      </c>
      <c r="J880" s="64"/>
    </row>
    <row r="881" spans="1:10" ht="10.5">
      <c r="A881" s="173">
        <v>256233</v>
      </c>
      <c r="B881" s="57">
        <v>38940</v>
      </c>
      <c r="C881" s="60">
        <v>606110</v>
      </c>
      <c r="D881" s="58">
        <f>VLOOKUP(C881,Comptes!$A$2:$B$60,2,FALSE)</f>
        <v>0</v>
      </c>
      <c r="E881" s="59">
        <v>512000</v>
      </c>
      <c r="F881" s="58">
        <f>VLOOKUP(E881,Comptes!$A$2:$B$60,2,FALSE)</f>
        <v>0</v>
      </c>
      <c r="G881" s="36" t="s">
        <v>178</v>
      </c>
      <c r="H881" s="59" t="s">
        <v>534</v>
      </c>
      <c r="I881" s="61">
        <v>38.02</v>
      </c>
      <c r="J881" s="35"/>
    </row>
    <row r="882" spans="1:10" ht="10.5">
      <c r="A882" s="173">
        <v>256234</v>
      </c>
      <c r="B882" s="57">
        <v>38915</v>
      </c>
      <c r="C882" s="59">
        <v>512000</v>
      </c>
      <c r="D882" s="58">
        <f>VLOOKUP(C882,Comptes!$A$2:$B$60,2,FALSE)</f>
        <v>0</v>
      </c>
      <c r="E882" s="60">
        <v>754000</v>
      </c>
      <c r="F882" s="58">
        <f>VLOOKUP(E882,Comptes!$A$2:$B$60,2,FALSE)</f>
        <v>0</v>
      </c>
      <c r="G882" s="59" t="s">
        <v>171</v>
      </c>
      <c r="H882" s="59" t="s">
        <v>533</v>
      </c>
      <c r="I882" s="68">
        <v>30</v>
      </c>
      <c r="J882" s="64"/>
    </row>
    <row r="883" spans="1:10" ht="10.5">
      <c r="A883" s="173">
        <v>256234</v>
      </c>
      <c r="B883" s="57">
        <v>38916</v>
      </c>
      <c r="C883" s="59">
        <v>512000</v>
      </c>
      <c r="D883" s="58">
        <f>VLOOKUP(C883,Comptes!$A$2:$B$60,2,FALSE)</f>
        <v>0</v>
      </c>
      <c r="E883" s="60">
        <v>754000</v>
      </c>
      <c r="F883" s="58">
        <f>VLOOKUP(E883,Comptes!$A$2:$B$60,2,FALSE)</f>
        <v>0</v>
      </c>
      <c r="G883" s="59" t="s">
        <v>171</v>
      </c>
      <c r="H883" s="59" t="s">
        <v>533</v>
      </c>
      <c r="I883" s="68">
        <v>50</v>
      </c>
      <c r="J883" s="35"/>
    </row>
    <row r="884" spans="1:10" ht="10.5">
      <c r="A884" s="173">
        <v>256234</v>
      </c>
      <c r="B884" s="57">
        <v>38929</v>
      </c>
      <c r="C884" s="60">
        <v>512000</v>
      </c>
      <c r="D884" s="58">
        <f>VLOOKUP(C884,Comptes!$A$2:$B$60,2,FALSE)</f>
        <v>0</v>
      </c>
      <c r="E884" s="60">
        <v>754000</v>
      </c>
      <c r="F884" s="58">
        <f>VLOOKUP(E884,Comptes!$A$2:$B$60,2,FALSE)</f>
        <v>0</v>
      </c>
      <c r="G884" s="59" t="s">
        <v>171</v>
      </c>
      <c r="H884" s="59" t="s">
        <v>533</v>
      </c>
      <c r="I884" s="61">
        <v>15.15</v>
      </c>
      <c r="J884" s="64"/>
    </row>
    <row r="885" spans="1:10" ht="10.5">
      <c r="A885" s="173">
        <v>256234</v>
      </c>
      <c r="B885" s="57">
        <v>38929</v>
      </c>
      <c r="C885" s="59">
        <v>512000</v>
      </c>
      <c r="D885" s="58">
        <f>VLOOKUP(C885,Comptes!$A$2:$B$60,2,FALSE)</f>
        <v>0</v>
      </c>
      <c r="E885" s="60">
        <v>754000</v>
      </c>
      <c r="F885" s="58">
        <f>VLOOKUP(E885,Comptes!$A$2:$B$60,2,FALSE)</f>
        <v>0</v>
      </c>
      <c r="G885" s="59" t="s">
        <v>171</v>
      </c>
      <c r="H885" s="59" t="s">
        <v>533</v>
      </c>
      <c r="I885" s="68">
        <v>38.11</v>
      </c>
      <c r="J885" s="35"/>
    </row>
    <row r="886" spans="1:10" ht="10.5">
      <c r="A886" s="173">
        <v>256235</v>
      </c>
      <c r="B886" s="57">
        <v>38931</v>
      </c>
      <c r="C886" s="59">
        <v>606700</v>
      </c>
      <c r="D886" s="58">
        <f>VLOOKUP(C886,Comptes!$A$2:$B$60,2,FALSE)</f>
        <v>0</v>
      </c>
      <c r="E886" s="60">
        <v>530000</v>
      </c>
      <c r="F886" s="58">
        <f>VLOOKUP(E886,Comptes!$A$2:$B$60,2,FALSE)</f>
        <v>0</v>
      </c>
      <c r="G886" s="59"/>
      <c r="H886" s="59"/>
      <c r="I886" s="68">
        <v>63.44</v>
      </c>
      <c r="J886" s="35"/>
    </row>
    <row r="887" spans="1:10" ht="10.5">
      <c r="A887" s="173">
        <v>256235</v>
      </c>
      <c r="B887" s="57">
        <v>38931</v>
      </c>
      <c r="C887" s="59">
        <v>606400</v>
      </c>
      <c r="D887" s="58">
        <f>VLOOKUP(C887,Comptes!$A$2:$B$60,2,FALSE)</f>
        <v>0</v>
      </c>
      <c r="E887" s="60">
        <v>530000</v>
      </c>
      <c r="F887" s="58">
        <f>VLOOKUP(E887,Comptes!$A$2:$B$60,2,FALSE)</f>
        <v>0</v>
      </c>
      <c r="G887" s="59"/>
      <c r="H887" s="59"/>
      <c r="I887" s="68">
        <v>72.06</v>
      </c>
      <c r="J887" s="35"/>
    </row>
    <row r="888" spans="1:10" ht="10.5">
      <c r="A888" s="173">
        <v>256235</v>
      </c>
      <c r="B888" s="57">
        <v>38931</v>
      </c>
      <c r="C888" s="59">
        <v>606400</v>
      </c>
      <c r="D888" s="58">
        <f>VLOOKUP(C888,Comptes!$A$2:$B$60,2,FALSE)</f>
        <v>0</v>
      </c>
      <c r="E888" s="60">
        <v>530000</v>
      </c>
      <c r="F888" s="58">
        <f>VLOOKUP(E888,Comptes!$A$2:$B$60,2,FALSE)</f>
        <v>0</v>
      </c>
      <c r="G888" s="59"/>
      <c r="H888" s="59"/>
      <c r="I888" s="68">
        <v>251.99</v>
      </c>
      <c r="J888" s="35"/>
    </row>
    <row r="889" spans="1:10" ht="10.5">
      <c r="A889" s="173">
        <v>256235</v>
      </c>
      <c r="B889" s="57">
        <v>38931</v>
      </c>
      <c r="C889" s="59">
        <v>606700</v>
      </c>
      <c r="D889" s="58">
        <f>VLOOKUP(C889,Comptes!$A$2:$B$60,2,FALSE)</f>
        <v>0</v>
      </c>
      <c r="E889" s="60">
        <v>530000</v>
      </c>
      <c r="F889" s="58">
        <f>VLOOKUP(E889,Comptes!$A$2:$B$60,2,FALSE)</f>
        <v>0</v>
      </c>
      <c r="G889" s="59"/>
      <c r="H889" s="59"/>
      <c r="I889" s="68">
        <v>7.8</v>
      </c>
      <c r="J889" s="35"/>
    </row>
    <row r="890" spans="1:10" ht="10.5">
      <c r="A890" s="173">
        <v>256235</v>
      </c>
      <c r="B890" s="57">
        <v>38931</v>
      </c>
      <c r="C890" s="59">
        <v>606700</v>
      </c>
      <c r="D890" s="58">
        <f>VLOOKUP(C890,Comptes!$A$2:$B$60,2,FALSE)</f>
        <v>0</v>
      </c>
      <c r="E890" s="60">
        <v>530000</v>
      </c>
      <c r="F890" s="58">
        <f>VLOOKUP(E890,Comptes!$A$2:$B$60,2,FALSE)</f>
        <v>0</v>
      </c>
      <c r="G890" s="59"/>
      <c r="H890" s="59"/>
      <c r="I890" s="68">
        <v>1.7000000000000002</v>
      </c>
      <c r="J890" s="35"/>
    </row>
    <row r="891" spans="1:10" ht="10.5">
      <c r="A891" s="173">
        <v>256235</v>
      </c>
      <c r="B891" s="57">
        <v>38931</v>
      </c>
      <c r="C891" s="60">
        <v>615000</v>
      </c>
      <c r="D891" s="58">
        <f>VLOOKUP(C891,Comptes!$A$2:$B$60,2,FALSE)</f>
        <v>0</v>
      </c>
      <c r="E891" s="60">
        <v>530000</v>
      </c>
      <c r="F891" s="58">
        <f>VLOOKUP(E891,Comptes!$A$2:$B$60,2,FALSE)</f>
        <v>0</v>
      </c>
      <c r="G891" s="59"/>
      <c r="H891" s="63"/>
      <c r="I891" s="61">
        <v>9.49</v>
      </c>
      <c r="J891" s="35"/>
    </row>
    <row r="892" spans="1:10" ht="10.5">
      <c r="A892" s="173">
        <v>256235</v>
      </c>
      <c r="B892" s="57">
        <v>38931</v>
      </c>
      <c r="C892" s="60">
        <v>615000</v>
      </c>
      <c r="D892" s="58">
        <f>VLOOKUP(C892,Comptes!$A$2:$B$60,2,FALSE)</f>
        <v>0</v>
      </c>
      <c r="E892" s="59">
        <v>530000</v>
      </c>
      <c r="F892" s="58">
        <f>VLOOKUP(E892,Comptes!$A$2:$B$60,2,FALSE)</f>
        <v>0</v>
      </c>
      <c r="G892" s="59"/>
      <c r="H892" s="63"/>
      <c r="I892" s="61">
        <v>11.2</v>
      </c>
      <c r="J892" s="35"/>
    </row>
    <row r="893" spans="1:10" ht="10.5">
      <c r="A893" s="173">
        <v>256235</v>
      </c>
      <c r="B893" s="57">
        <v>38931</v>
      </c>
      <c r="C893" s="60">
        <v>613100</v>
      </c>
      <c r="D893" s="58">
        <f>VLOOKUP(C893,Comptes!$A$2:$B$60,2,FALSE)</f>
        <v>0</v>
      </c>
      <c r="E893" s="62">
        <v>512000</v>
      </c>
      <c r="F893" s="58">
        <f>VLOOKUP(E893,Comptes!$A$2:$B$60,2,FALSE)</f>
        <v>0</v>
      </c>
      <c r="G893" s="59" t="s">
        <v>551</v>
      </c>
      <c r="H893" s="59" t="s">
        <v>548</v>
      </c>
      <c r="I893" s="61">
        <v>835</v>
      </c>
      <c r="J893" s="66"/>
    </row>
    <row r="894" spans="1:10" ht="10.5">
      <c r="A894" s="173">
        <v>256235</v>
      </c>
      <c r="B894" s="57">
        <v>38931</v>
      </c>
      <c r="C894" s="60">
        <v>606700</v>
      </c>
      <c r="D894" s="58">
        <f>VLOOKUP(C894,Comptes!$A$2:$B$60,2,FALSE)</f>
        <v>0</v>
      </c>
      <c r="E894" s="62">
        <v>512000</v>
      </c>
      <c r="F894" s="58">
        <f>VLOOKUP(E894,Comptes!$A$2:$B$60,2,FALSE)</f>
        <v>0</v>
      </c>
      <c r="G894" s="59" t="s">
        <v>552</v>
      </c>
      <c r="H894" s="59" t="s">
        <v>534</v>
      </c>
      <c r="I894" s="61">
        <v>219.71</v>
      </c>
      <c r="J894" s="66"/>
    </row>
    <row r="895" spans="1:10" ht="10.5">
      <c r="A895" s="173">
        <v>256236</v>
      </c>
      <c r="B895" s="57">
        <v>38934</v>
      </c>
      <c r="C895" s="60">
        <v>606700</v>
      </c>
      <c r="D895" s="58">
        <f>VLOOKUP(C895,Comptes!$A$2:$B$60,2,FALSE)</f>
        <v>0</v>
      </c>
      <c r="E895" s="59">
        <v>512000</v>
      </c>
      <c r="F895" s="58">
        <f>VLOOKUP(E895,Comptes!$A$2:$B$60,2,FALSE)</f>
        <v>0</v>
      </c>
      <c r="G895" s="59" t="s">
        <v>553</v>
      </c>
      <c r="H895" s="59" t="s">
        <v>534</v>
      </c>
      <c r="I895" s="61">
        <v>100</v>
      </c>
      <c r="J895" s="35"/>
    </row>
    <row r="896" spans="1:10" ht="10.5">
      <c r="A896" s="173">
        <v>256236</v>
      </c>
      <c r="B896" s="57">
        <v>38934</v>
      </c>
      <c r="C896" s="60">
        <v>606700</v>
      </c>
      <c r="D896" s="58">
        <f>VLOOKUP(C896,Comptes!$A$2:$B$60,2,FALSE)</f>
        <v>0</v>
      </c>
      <c r="E896" s="59">
        <v>512000</v>
      </c>
      <c r="F896" s="58">
        <f>VLOOKUP(E896,Comptes!$A$2:$B$60,2,FALSE)</f>
        <v>0</v>
      </c>
      <c r="G896" s="59" t="s">
        <v>553</v>
      </c>
      <c r="H896" s="59" t="s">
        <v>534</v>
      </c>
      <c r="I896" s="61">
        <v>140.56</v>
      </c>
      <c r="J896" s="35"/>
    </row>
    <row r="897" spans="1:10" ht="10.5">
      <c r="A897" s="173">
        <v>256236</v>
      </c>
      <c r="B897" s="57">
        <v>38934</v>
      </c>
      <c r="C897" s="60">
        <v>625000</v>
      </c>
      <c r="D897" s="58">
        <f>VLOOKUP(C897,Comptes!$A$2:$B$60,2,FALSE)</f>
        <v>0</v>
      </c>
      <c r="E897" s="59">
        <v>530000</v>
      </c>
      <c r="F897" s="58">
        <f>VLOOKUP(E897,Comptes!$A$2:$B$60,2,FALSE)</f>
        <v>0</v>
      </c>
      <c r="G897" s="59"/>
      <c r="H897" s="63"/>
      <c r="I897" s="61">
        <v>47.7</v>
      </c>
      <c r="J897" s="35"/>
    </row>
    <row r="898" spans="1:10" ht="10.5">
      <c r="A898" s="173">
        <v>256236</v>
      </c>
      <c r="B898" s="57">
        <v>38934</v>
      </c>
      <c r="C898" s="60">
        <v>606700</v>
      </c>
      <c r="D898" s="58">
        <f>VLOOKUP(C898,Comptes!$A$2:$B$60,2,FALSE)</f>
        <v>0</v>
      </c>
      <c r="E898" s="59">
        <v>530000</v>
      </c>
      <c r="F898" s="58">
        <f>VLOOKUP(E898,Comptes!$A$2:$B$60,2,FALSE)</f>
        <v>0</v>
      </c>
      <c r="G898" s="59"/>
      <c r="H898" s="63"/>
      <c r="I898" s="61">
        <v>7</v>
      </c>
      <c r="J898" s="35"/>
    </row>
    <row r="899" spans="1:10" ht="10.5">
      <c r="A899" s="173">
        <v>256236</v>
      </c>
      <c r="B899" s="57">
        <v>38934</v>
      </c>
      <c r="C899" s="60">
        <v>606700</v>
      </c>
      <c r="D899" s="58">
        <f>VLOOKUP(C899,Comptes!$A$2:$B$60,2,FALSE)</f>
        <v>0</v>
      </c>
      <c r="E899" s="59">
        <v>530000</v>
      </c>
      <c r="F899" s="58">
        <f>VLOOKUP(E899,Comptes!$A$2:$B$60,2,FALSE)</f>
        <v>0</v>
      </c>
      <c r="G899" s="59"/>
      <c r="H899" s="63"/>
      <c r="I899" s="61">
        <v>27.67</v>
      </c>
      <c r="J899" s="35"/>
    </row>
    <row r="900" spans="1:10" ht="10.5">
      <c r="A900" s="173">
        <v>256237</v>
      </c>
      <c r="B900" s="57">
        <v>38935</v>
      </c>
      <c r="C900" s="60">
        <v>512000</v>
      </c>
      <c r="D900" s="58">
        <f>VLOOKUP(C900,Comptes!$A$2:$B$60,2,FALSE)</f>
        <v>0</v>
      </c>
      <c r="E900" s="59">
        <v>706210</v>
      </c>
      <c r="F900" s="58">
        <f>VLOOKUP(E900,Comptes!$A$2:$B$60,2,FALSE)</f>
        <v>0</v>
      </c>
      <c r="G900" s="59" t="s">
        <v>170</v>
      </c>
      <c r="H900" s="59" t="s">
        <v>534</v>
      </c>
      <c r="I900" s="61">
        <v>9</v>
      </c>
      <c r="J900" s="35"/>
    </row>
    <row r="901" spans="1:10" ht="10.5">
      <c r="A901" s="173">
        <v>256237</v>
      </c>
      <c r="B901" s="57">
        <v>38935</v>
      </c>
      <c r="C901" s="60">
        <v>512000</v>
      </c>
      <c r="D901" s="58">
        <f>VLOOKUP(C901,Comptes!$A$2:$B$60,2,FALSE)</f>
        <v>0</v>
      </c>
      <c r="E901" s="59">
        <v>706220</v>
      </c>
      <c r="F901" s="58">
        <f>VLOOKUP(E901,Comptes!$A$2:$B$60,2,FALSE)</f>
        <v>0</v>
      </c>
      <c r="G901" s="59" t="s">
        <v>170</v>
      </c>
      <c r="H901" s="59" t="s">
        <v>534</v>
      </c>
      <c r="I901" s="61">
        <v>488</v>
      </c>
      <c r="J901" s="35"/>
    </row>
    <row r="902" spans="1:10" ht="10.5">
      <c r="A902" s="173">
        <v>256237</v>
      </c>
      <c r="B902" s="57">
        <v>38935</v>
      </c>
      <c r="C902" s="60">
        <v>512000</v>
      </c>
      <c r="D902" s="58">
        <f>VLOOKUP(C902,Comptes!$A$2:$B$60,2,FALSE)</f>
        <v>0</v>
      </c>
      <c r="E902" s="59">
        <v>756000</v>
      </c>
      <c r="F902" s="58">
        <f>VLOOKUP(E902,Comptes!$A$2:$B$60,2,FALSE)</f>
        <v>0</v>
      </c>
      <c r="G902" s="59" t="s">
        <v>170</v>
      </c>
      <c r="H902" s="59" t="s">
        <v>534</v>
      </c>
      <c r="I902" s="61">
        <v>9</v>
      </c>
      <c r="J902" s="35"/>
    </row>
    <row r="903" spans="1:10" ht="10.5">
      <c r="A903" s="173">
        <v>256237</v>
      </c>
      <c r="B903" s="57">
        <v>38935</v>
      </c>
      <c r="C903" s="60">
        <v>512000</v>
      </c>
      <c r="D903" s="58">
        <f>VLOOKUP(C903,Comptes!$A$2:$B$60,2,FALSE)</f>
        <v>0</v>
      </c>
      <c r="E903" s="59">
        <v>754000</v>
      </c>
      <c r="F903" s="58">
        <f>VLOOKUP(E903,Comptes!$A$2:$B$60,2,FALSE)</f>
        <v>0</v>
      </c>
      <c r="G903" s="59" t="s">
        <v>170</v>
      </c>
      <c r="H903" s="59" t="s">
        <v>534</v>
      </c>
      <c r="I903" s="61">
        <v>30</v>
      </c>
      <c r="J903" s="35"/>
    </row>
    <row r="904" spans="1:10" ht="10.5">
      <c r="A904" s="173">
        <v>256237</v>
      </c>
      <c r="B904" s="57">
        <v>38935</v>
      </c>
      <c r="C904" s="60">
        <v>512000</v>
      </c>
      <c r="D904" s="58">
        <f>VLOOKUP(C904,Comptes!$A$2:$B$60,2,FALSE)</f>
        <v>0</v>
      </c>
      <c r="E904" s="59">
        <v>706320</v>
      </c>
      <c r="F904" s="58">
        <f>VLOOKUP(E904,Comptes!$A$2:$B$60,2,FALSE)</f>
        <v>0</v>
      </c>
      <c r="G904" s="59" t="s">
        <v>170</v>
      </c>
      <c r="H904" s="59" t="s">
        <v>534</v>
      </c>
      <c r="I904" s="61">
        <v>705.33</v>
      </c>
      <c r="J904" s="35"/>
    </row>
    <row r="905" spans="1:10" ht="10.5">
      <c r="A905" s="173">
        <v>256237</v>
      </c>
      <c r="B905" s="57">
        <v>38935</v>
      </c>
      <c r="C905" s="60">
        <v>530000</v>
      </c>
      <c r="D905" s="58">
        <f>VLOOKUP(C905,Comptes!$A$2:$B$60,2,FALSE)</f>
        <v>0</v>
      </c>
      <c r="E905" s="59">
        <v>706210</v>
      </c>
      <c r="F905" s="58">
        <f>VLOOKUP(E905,Comptes!$A$2:$B$60,2,FALSE)</f>
        <v>0</v>
      </c>
      <c r="G905" s="59"/>
      <c r="H905" s="63"/>
      <c r="I905" s="61">
        <v>8</v>
      </c>
      <c r="J905" s="35"/>
    </row>
    <row r="906" spans="1:10" ht="10.5">
      <c r="A906" s="173">
        <v>256237</v>
      </c>
      <c r="B906" s="57">
        <v>38935</v>
      </c>
      <c r="C906" s="60">
        <v>530000</v>
      </c>
      <c r="D906" s="58">
        <f>VLOOKUP(C906,Comptes!$A$2:$B$60,2,FALSE)</f>
        <v>0</v>
      </c>
      <c r="E906" s="59">
        <v>706220</v>
      </c>
      <c r="F906" s="58">
        <f>VLOOKUP(E906,Comptes!$A$2:$B$60,2,FALSE)</f>
        <v>0</v>
      </c>
      <c r="G906" s="59"/>
      <c r="H906" s="63"/>
      <c r="I906" s="61">
        <v>476.7</v>
      </c>
      <c r="J906" s="35"/>
    </row>
    <row r="907" spans="1:10" ht="10.5">
      <c r="A907" s="173">
        <v>256237</v>
      </c>
      <c r="B907" s="57">
        <v>38935</v>
      </c>
      <c r="C907" s="60">
        <v>530000</v>
      </c>
      <c r="D907" s="58">
        <f>VLOOKUP(C907,Comptes!$A$2:$B$60,2,FALSE)</f>
        <v>0</v>
      </c>
      <c r="E907" s="59">
        <v>758000</v>
      </c>
      <c r="F907" s="58">
        <f>VLOOKUP(E907,Comptes!$A$2:$B$60,2,FALSE)</f>
        <v>0</v>
      </c>
      <c r="G907" s="59"/>
      <c r="H907" s="63"/>
      <c r="I907" s="61">
        <v>46.14</v>
      </c>
      <c r="J907" s="35"/>
    </row>
    <row r="908" spans="1:10" ht="10.5">
      <c r="A908" s="65">
        <v>256173</v>
      </c>
      <c r="B908" s="57">
        <v>38942</v>
      </c>
      <c r="C908" s="60">
        <v>606110</v>
      </c>
      <c r="D908" s="58">
        <f>VLOOKUP(C908,Comptes!$A$2:$B$60,2,FALSE)</f>
        <v>0</v>
      </c>
      <c r="E908" s="59">
        <v>512000</v>
      </c>
      <c r="F908" s="58">
        <f>VLOOKUP(E908,Comptes!$A$2:$B$60,2,FALSE)</f>
        <v>0</v>
      </c>
      <c r="G908" s="59" t="s">
        <v>178</v>
      </c>
      <c r="H908" s="59" t="s">
        <v>534</v>
      </c>
      <c r="I908" s="68">
        <v>147</v>
      </c>
      <c r="J908" s="64"/>
    </row>
    <row r="909" spans="1:10" ht="10.5">
      <c r="A909" s="173">
        <v>256238</v>
      </c>
      <c r="B909" s="57">
        <v>38948</v>
      </c>
      <c r="C909" s="60">
        <v>606700</v>
      </c>
      <c r="D909" s="58">
        <f>VLOOKUP(C909,Comptes!$A$2:$B$60,2,FALSE)</f>
        <v>0</v>
      </c>
      <c r="E909" s="59">
        <v>530000</v>
      </c>
      <c r="F909" s="58">
        <f>VLOOKUP(E909,Comptes!$A$2:$B$60,2,FALSE)</f>
        <v>0</v>
      </c>
      <c r="G909" s="59"/>
      <c r="H909" s="63"/>
      <c r="I909" s="61">
        <v>60.29</v>
      </c>
      <c r="J909" s="35"/>
    </row>
    <row r="910" spans="1:10" ht="10.5">
      <c r="A910" s="173">
        <v>256238</v>
      </c>
      <c r="B910" s="57">
        <v>38948</v>
      </c>
      <c r="C910" s="60">
        <v>606700</v>
      </c>
      <c r="D910" s="58">
        <f>VLOOKUP(C910,Comptes!$A$2:$B$60,2,FALSE)</f>
        <v>0</v>
      </c>
      <c r="E910" s="59">
        <v>512000</v>
      </c>
      <c r="F910" s="58">
        <f>VLOOKUP(E910,Comptes!$A$2:$B$60,2,FALSE)</f>
        <v>0</v>
      </c>
      <c r="G910" s="59" t="s">
        <v>554</v>
      </c>
      <c r="H910" s="59" t="s">
        <v>548</v>
      </c>
      <c r="I910" s="61">
        <v>431.09</v>
      </c>
      <c r="J910" s="35"/>
    </row>
    <row r="911" spans="1:10" ht="10.5">
      <c r="A911" s="173">
        <v>256238</v>
      </c>
      <c r="B911" s="57">
        <v>38948</v>
      </c>
      <c r="C911" s="60">
        <v>606700</v>
      </c>
      <c r="D911" s="58">
        <f>VLOOKUP(C911,Comptes!$A$2:$B$60,2,FALSE)</f>
        <v>0</v>
      </c>
      <c r="E911" s="59">
        <v>530000</v>
      </c>
      <c r="F911" s="58">
        <f>VLOOKUP(E911,Comptes!$A$2:$B$60,2,FALSE)</f>
        <v>0</v>
      </c>
      <c r="G911" s="59"/>
      <c r="H911" s="63"/>
      <c r="I911" s="61">
        <f>62.25+61.6</f>
        <v>123.85</v>
      </c>
      <c r="J911" s="35"/>
    </row>
    <row r="912" spans="1:10" ht="10.5">
      <c r="A912" s="173">
        <v>256238</v>
      </c>
      <c r="B912" s="57">
        <v>38948</v>
      </c>
      <c r="C912" s="60">
        <v>530000</v>
      </c>
      <c r="D912" s="58">
        <f>VLOOKUP(C912,Comptes!$A$2:$B$60,2,FALSE)</f>
        <v>0</v>
      </c>
      <c r="E912" s="59">
        <v>512000</v>
      </c>
      <c r="F912" s="58">
        <f>VLOOKUP(E912,Comptes!$A$2:$B$60,2,FALSE)</f>
        <v>0</v>
      </c>
      <c r="G912" s="59"/>
      <c r="H912" s="59" t="s">
        <v>548</v>
      </c>
      <c r="I912" s="61">
        <v>4000</v>
      </c>
      <c r="J912" s="35"/>
    </row>
    <row r="913" spans="1:10" ht="10.5">
      <c r="A913" s="173">
        <v>256239</v>
      </c>
      <c r="B913" s="57">
        <v>38950</v>
      </c>
      <c r="C913" s="60">
        <v>613100</v>
      </c>
      <c r="D913" s="58">
        <f>VLOOKUP(C913,Comptes!$A$2:$B$60,2,FALSE)</f>
        <v>0</v>
      </c>
      <c r="E913" s="62">
        <v>512000</v>
      </c>
      <c r="F913" s="58">
        <f>VLOOKUP(E913,Comptes!$A$2:$B$60,2,FALSE)</f>
        <v>0</v>
      </c>
      <c r="G913" s="59" t="s">
        <v>555</v>
      </c>
      <c r="H913" s="59" t="s">
        <v>548</v>
      </c>
      <c r="I913" s="61">
        <v>835</v>
      </c>
      <c r="J913" s="66"/>
    </row>
    <row r="914" spans="1:10" ht="10.5">
      <c r="A914" s="173">
        <v>256239</v>
      </c>
      <c r="B914" s="57">
        <v>38950</v>
      </c>
      <c r="C914" s="60">
        <v>606700</v>
      </c>
      <c r="D914" s="58">
        <f>VLOOKUP(C914,Comptes!$A$2:$B$60,2,FALSE)</f>
        <v>0</v>
      </c>
      <c r="E914" s="62">
        <v>512000</v>
      </c>
      <c r="F914" s="58">
        <f>VLOOKUP(E914,Comptes!$A$2:$B$60,2,FALSE)</f>
        <v>0</v>
      </c>
      <c r="G914" s="59" t="s">
        <v>555</v>
      </c>
      <c r="H914" s="59" t="s">
        <v>548</v>
      </c>
      <c r="I914" s="61">
        <v>123.05</v>
      </c>
      <c r="J914" s="66"/>
    </row>
    <row r="915" spans="1:10" ht="10.5">
      <c r="A915" s="173">
        <v>256239</v>
      </c>
      <c r="B915" s="57">
        <v>38950</v>
      </c>
      <c r="C915" s="60">
        <v>625000</v>
      </c>
      <c r="D915" s="58">
        <f>VLOOKUP(C915,Comptes!$A$2:$B$60,2,FALSE)</f>
        <v>0</v>
      </c>
      <c r="E915" s="62">
        <v>512000</v>
      </c>
      <c r="F915" s="58">
        <f>VLOOKUP(E915,Comptes!$A$2:$B$60,2,FALSE)</f>
        <v>0</v>
      </c>
      <c r="G915" s="59" t="s">
        <v>555</v>
      </c>
      <c r="H915" s="59" t="s">
        <v>548</v>
      </c>
      <c r="I915" s="61">
        <v>255</v>
      </c>
      <c r="J915" s="66"/>
    </row>
    <row r="916" spans="1:10" ht="10.5">
      <c r="A916" s="173">
        <v>256240</v>
      </c>
      <c r="B916" s="57">
        <v>38951</v>
      </c>
      <c r="C916" s="60">
        <v>606700</v>
      </c>
      <c r="D916" s="58">
        <f>VLOOKUP(C916,Comptes!$A$2:$B$60,2,FALSE)</f>
        <v>0</v>
      </c>
      <c r="E916" s="62">
        <v>530000</v>
      </c>
      <c r="F916" s="58">
        <f>VLOOKUP(E916,Comptes!$A$2:$B$60,2,FALSE)</f>
        <v>0</v>
      </c>
      <c r="G916" s="59"/>
      <c r="H916" s="63"/>
      <c r="I916" s="61">
        <v>18.85</v>
      </c>
      <c r="J916" s="66"/>
    </row>
    <row r="917" spans="1:10" ht="10.5">
      <c r="A917" s="173">
        <v>256240</v>
      </c>
      <c r="B917" s="57">
        <v>38951</v>
      </c>
      <c r="C917" s="60">
        <v>606700</v>
      </c>
      <c r="D917" s="58">
        <f>VLOOKUP(C917,Comptes!$A$2:$B$60,2,FALSE)</f>
        <v>0</v>
      </c>
      <c r="E917" s="62">
        <v>512000</v>
      </c>
      <c r="F917" s="58">
        <f>VLOOKUP(E917,Comptes!$A$2:$B$60,2,FALSE)</f>
        <v>0</v>
      </c>
      <c r="G917" s="59" t="s">
        <v>556</v>
      </c>
      <c r="H917" s="59" t="s">
        <v>548</v>
      </c>
      <c r="I917" s="61">
        <v>132.53</v>
      </c>
      <c r="J917" s="66"/>
    </row>
    <row r="918" spans="1:10" ht="10.5">
      <c r="A918" s="173">
        <v>256240</v>
      </c>
      <c r="B918" s="57">
        <v>38951</v>
      </c>
      <c r="C918" s="60">
        <v>606700</v>
      </c>
      <c r="D918" s="58">
        <f>VLOOKUP(C918,Comptes!$A$2:$B$60,2,FALSE)</f>
        <v>0</v>
      </c>
      <c r="E918" s="62">
        <v>530000</v>
      </c>
      <c r="F918" s="58">
        <f>VLOOKUP(E918,Comptes!$A$2:$B$60,2,FALSE)</f>
        <v>0</v>
      </c>
      <c r="G918" s="59"/>
      <c r="H918" s="63"/>
      <c r="I918" s="61">
        <v>11.74</v>
      </c>
      <c r="J918" s="66"/>
    </row>
    <row r="919" spans="1:10" ht="10.5">
      <c r="A919" s="173">
        <v>256240</v>
      </c>
      <c r="B919" s="57">
        <v>38951</v>
      </c>
      <c r="C919" s="60">
        <v>606700</v>
      </c>
      <c r="D919" s="58">
        <f>VLOOKUP(C919,Comptes!$A$2:$B$60,2,FALSE)</f>
        <v>0</v>
      </c>
      <c r="E919" s="62">
        <v>530000</v>
      </c>
      <c r="F919" s="58">
        <f>VLOOKUP(E919,Comptes!$A$2:$B$60,2,FALSE)</f>
        <v>0</v>
      </c>
      <c r="G919" s="59"/>
      <c r="H919" s="63"/>
      <c r="I919" s="61">
        <v>67.71</v>
      </c>
      <c r="J919" s="66"/>
    </row>
    <row r="920" spans="1:10" ht="10.5">
      <c r="A920" s="173">
        <v>256241</v>
      </c>
      <c r="B920" s="57">
        <v>38939</v>
      </c>
      <c r="C920" s="60">
        <v>613200</v>
      </c>
      <c r="D920" s="58">
        <f>VLOOKUP(C920,Comptes!$A$2:$B$60,2,FALSE)</f>
        <v>0</v>
      </c>
      <c r="E920" s="62">
        <v>512000</v>
      </c>
      <c r="F920" s="58">
        <f>VLOOKUP(E920,Comptes!$A$2:$B$60,2,FALSE)</f>
        <v>0</v>
      </c>
      <c r="G920" s="59" t="s">
        <v>178</v>
      </c>
      <c r="H920" s="59" t="s">
        <v>534</v>
      </c>
      <c r="I920" s="61">
        <v>989.21</v>
      </c>
      <c r="J920" s="64"/>
    </row>
    <row r="921" spans="1:10" ht="10.5">
      <c r="A921" s="173">
        <v>256242</v>
      </c>
      <c r="B921" s="57">
        <v>38943</v>
      </c>
      <c r="C921" s="60">
        <v>626500</v>
      </c>
      <c r="D921" s="58">
        <f>VLOOKUP(C921,Comptes!$A$2:$B$60,2,FALSE)</f>
        <v>0</v>
      </c>
      <c r="E921" s="59">
        <v>512000</v>
      </c>
      <c r="F921" s="58">
        <f>VLOOKUP(E921,Comptes!$A$2:$B$60,2,FALSE)</f>
        <v>0</v>
      </c>
      <c r="G921" s="36" t="s">
        <v>178</v>
      </c>
      <c r="H921" s="59" t="s">
        <v>534</v>
      </c>
      <c r="I921" s="61">
        <v>19.9</v>
      </c>
      <c r="J921" s="35"/>
    </row>
    <row r="922" spans="1:10" ht="10.5">
      <c r="A922" s="173">
        <v>256243</v>
      </c>
      <c r="B922" s="57">
        <v>38933</v>
      </c>
      <c r="C922" s="60">
        <v>512000</v>
      </c>
      <c r="D922" s="58">
        <f>VLOOKUP(C922,Comptes!$A$2:$B$60,2,FALSE)</f>
        <v>0</v>
      </c>
      <c r="E922" s="59">
        <v>706320</v>
      </c>
      <c r="F922" s="58">
        <f>VLOOKUP(E922,Comptes!$A$2:$B$60,2,FALSE)</f>
        <v>0</v>
      </c>
      <c r="G922" s="59"/>
      <c r="H922" s="59" t="s">
        <v>534</v>
      </c>
      <c r="I922" s="61">
        <v>285</v>
      </c>
      <c r="J922" s="64"/>
    </row>
    <row r="923" spans="1:10" ht="10.5">
      <c r="A923" s="173">
        <v>256244</v>
      </c>
      <c r="B923" s="57">
        <v>38932</v>
      </c>
      <c r="C923" s="60">
        <v>512000</v>
      </c>
      <c r="D923" s="58">
        <f>VLOOKUP(C923,Comptes!$A$2:$B$60,2,FALSE)</f>
        <v>0</v>
      </c>
      <c r="E923" s="59">
        <v>754000</v>
      </c>
      <c r="F923" s="58">
        <f>VLOOKUP(E923,Comptes!$A$2:$B$60,2,FALSE)</f>
        <v>0</v>
      </c>
      <c r="G923" s="59" t="s">
        <v>171</v>
      </c>
      <c r="H923" s="59" t="s">
        <v>534</v>
      </c>
      <c r="I923" s="61">
        <v>150</v>
      </c>
      <c r="J923" s="64"/>
    </row>
    <row r="924" spans="1:10" ht="10.5">
      <c r="A924" s="173">
        <v>256244</v>
      </c>
      <c r="B924" s="57">
        <v>38939</v>
      </c>
      <c r="C924" s="60">
        <v>512000</v>
      </c>
      <c r="D924" s="58">
        <f>VLOOKUP(C924,Comptes!$A$2:$B$60,2,FALSE)</f>
        <v>0</v>
      </c>
      <c r="E924" s="59">
        <v>754000</v>
      </c>
      <c r="F924" s="58">
        <f>VLOOKUP(E924,Comptes!$A$2:$B$60,2,FALSE)</f>
        <v>0</v>
      </c>
      <c r="G924" s="59" t="s">
        <v>171</v>
      </c>
      <c r="H924" s="59" t="s">
        <v>534</v>
      </c>
      <c r="I924" s="61">
        <v>15</v>
      </c>
      <c r="J924" s="64"/>
    </row>
    <row r="925" spans="1:10" ht="10.5">
      <c r="A925" s="173">
        <v>256245</v>
      </c>
      <c r="B925" s="57">
        <v>38957</v>
      </c>
      <c r="C925" s="60">
        <v>625000</v>
      </c>
      <c r="D925" s="58">
        <f>VLOOKUP(C925,Comptes!$A$2:$B$60,2,FALSE)</f>
        <v>0</v>
      </c>
      <c r="E925" s="62">
        <v>530000</v>
      </c>
      <c r="F925" s="58">
        <f>VLOOKUP(E925,Comptes!$A$2:$B$60,2,FALSE)</f>
        <v>0</v>
      </c>
      <c r="G925" s="59"/>
      <c r="H925" s="63"/>
      <c r="I925" s="61">
        <v>4500</v>
      </c>
      <c r="J925" s="64"/>
    </row>
    <row r="926" spans="1:10" ht="10.5">
      <c r="A926" s="173">
        <v>256245</v>
      </c>
      <c r="B926" s="57">
        <v>38957</v>
      </c>
      <c r="C926" s="60">
        <v>625000</v>
      </c>
      <c r="D926" s="58">
        <f>VLOOKUP(C926,Comptes!$A$2:$B$60,2,FALSE)</f>
        <v>0</v>
      </c>
      <c r="E926" s="62">
        <v>530000</v>
      </c>
      <c r="F926" s="58">
        <f>VLOOKUP(E926,Comptes!$A$2:$B$60,2,FALSE)</f>
        <v>0</v>
      </c>
      <c r="G926" s="59"/>
      <c r="H926" s="63"/>
      <c r="I926" s="61">
        <v>500</v>
      </c>
      <c r="J926" s="35"/>
    </row>
    <row r="927" spans="1:10" ht="10.5">
      <c r="A927" s="173">
        <v>256246</v>
      </c>
      <c r="B927" s="57">
        <v>38957</v>
      </c>
      <c r="C927" s="60">
        <v>512000</v>
      </c>
      <c r="D927" s="58">
        <f>VLOOKUP(C927,Comptes!$A$2:$B$60,2,FALSE)</f>
        <v>0</v>
      </c>
      <c r="E927" s="60">
        <v>706210</v>
      </c>
      <c r="F927" s="58">
        <f>VLOOKUP(E927,Comptes!$A$2:$B$60,2,FALSE)</f>
        <v>0</v>
      </c>
      <c r="G927" s="59" t="s">
        <v>170</v>
      </c>
      <c r="H927" s="59" t="s">
        <v>548</v>
      </c>
      <c r="I927" s="61">
        <v>1482</v>
      </c>
      <c r="J927" s="35"/>
    </row>
    <row r="928" spans="1:10" ht="10.5">
      <c r="A928" s="173">
        <v>256246</v>
      </c>
      <c r="B928" s="57">
        <v>38957</v>
      </c>
      <c r="C928" s="60">
        <v>512000</v>
      </c>
      <c r="D928" s="58">
        <f>VLOOKUP(C928,Comptes!$A$2:$B$60,2,FALSE)</f>
        <v>0</v>
      </c>
      <c r="E928" s="60">
        <v>706220</v>
      </c>
      <c r="F928" s="58">
        <f>VLOOKUP(E928,Comptes!$A$2:$B$60,2,FALSE)</f>
        <v>0</v>
      </c>
      <c r="G928" s="59" t="s">
        <v>170</v>
      </c>
      <c r="H928" s="59" t="s">
        <v>548</v>
      </c>
      <c r="I928" s="61">
        <v>1352</v>
      </c>
      <c r="J928" s="176"/>
    </row>
    <row r="929" spans="1:10" ht="10.5">
      <c r="A929" s="173">
        <v>256246</v>
      </c>
      <c r="B929" s="57">
        <v>38957</v>
      </c>
      <c r="C929" s="60">
        <v>512000</v>
      </c>
      <c r="D929" s="58">
        <f>VLOOKUP(C929,Comptes!$A$2:$B$60,2,FALSE)</f>
        <v>0</v>
      </c>
      <c r="E929" s="60">
        <v>706230</v>
      </c>
      <c r="F929" s="58">
        <f>VLOOKUP(E929,Comptes!$A$2:$B$60,2,FALSE)</f>
        <v>0</v>
      </c>
      <c r="G929" s="59" t="s">
        <v>170</v>
      </c>
      <c r="H929" s="59" t="s">
        <v>548</v>
      </c>
      <c r="I929" s="61">
        <v>3810.29</v>
      </c>
      <c r="J929" s="176"/>
    </row>
    <row r="930" spans="1:10" ht="10.5">
      <c r="A930" s="173">
        <v>256246</v>
      </c>
      <c r="B930" s="57">
        <v>38957</v>
      </c>
      <c r="C930" s="60">
        <v>512000</v>
      </c>
      <c r="D930" s="58">
        <f>VLOOKUP(C930,Comptes!$A$2:$B$60,2,FALSE)</f>
        <v>0</v>
      </c>
      <c r="E930" s="60">
        <v>756000</v>
      </c>
      <c r="F930" s="58">
        <f>VLOOKUP(E930,Comptes!$A$2:$B$60,2,FALSE)</f>
        <v>0</v>
      </c>
      <c r="G930" s="59" t="s">
        <v>170</v>
      </c>
      <c r="H930" s="59" t="s">
        <v>548</v>
      </c>
      <c r="I930" s="61">
        <v>277</v>
      </c>
      <c r="J930" s="35"/>
    </row>
    <row r="931" spans="1:10" ht="10.5">
      <c r="A931" s="173">
        <v>256246</v>
      </c>
      <c r="B931" s="57">
        <v>38957</v>
      </c>
      <c r="C931" s="60">
        <v>512000</v>
      </c>
      <c r="D931" s="58">
        <f>VLOOKUP(C931,Comptes!$A$2:$B$60,2,FALSE)</f>
        <v>0</v>
      </c>
      <c r="E931" s="60">
        <v>708000</v>
      </c>
      <c r="F931" s="58">
        <f>VLOOKUP(E931,Comptes!$A$2:$B$60,2,FALSE)</f>
        <v>0</v>
      </c>
      <c r="G931" s="59" t="s">
        <v>170</v>
      </c>
      <c r="H931" s="59" t="s">
        <v>548</v>
      </c>
      <c r="I931" s="61">
        <v>81</v>
      </c>
      <c r="J931" s="35"/>
    </row>
    <row r="932" spans="1:10" ht="10.5">
      <c r="A932" s="47">
        <v>256246</v>
      </c>
      <c r="B932" s="48">
        <v>38957</v>
      </c>
      <c r="C932" s="49">
        <v>511200</v>
      </c>
      <c r="D932" s="58">
        <f>VLOOKUP(C932,Comptes!$A$2:$B$60,2,FALSE)</f>
        <v>0</v>
      </c>
      <c r="E932" s="49">
        <v>512000</v>
      </c>
      <c r="F932" s="58">
        <f>VLOOKUP(E932,Comptes!$A$2:$B$60,2,FALSE)</f>
        <v>0</v>
      </c>
      <c r="G932" s="49" t="s">
        <v>170</v>
      </c>
      <c r="H932" s="59" t="s">
        <v>548</v>
      </c>
      <c r="I932" s="61">
        <v>476</v>
      </c>
      <c r="J932" s="35"/>
    </row>
    <row r="933" spans="1:10" ht="10.5">
      <c r="A933" s="47">
        <v>256246</v>
      </c>
      <c r="B933" s="48">
        <v>38957</v>
      </c>
      <c r="C933" s="49">
        <v>511200</v>
      </c>
      <c r="D933" s="58">
        <f>VLOOKUP(C933,Comptes!$A$2:$B$60,2,FALSE)</f>
        <v>0</v>
      </c>
      <c r="E933" s="49">
        <v>512000</v>
      </c>
      <c r="F933" s="58">
        <f>VLOOKUP(E933,Comptes!$A$2:$B$60,2,FALSE)</f>
        <v>0</v>
      </c>
      <c r="G933" s="49" t="s">
        <v>170</v>
      </c>
      <c r="H933" s="59" t="s">
        <v>548</v>
      </c>
      <c r="I933" s="61">
        <v>586</v>
      </c>
      <c r="J933" s="35"/>
    </row>
    <row r="934" spans="1:10" ht="10.5">
      <c r="A934" s="173">
        <v>256246</v>
      </c>
      <c r="B934" s="57">
        <v>38957</v>
      </c>
      <c r="C934" s="60">
        <v>512000</v>
      </c>
      <c r="D934" s="58">
        <f>VLOOKUP(C934,Comptes!$A$2:$B$60,2,FALSE)</f>
        <v>0</v>
      </c>
      <c r="E934" s="60">
        <v>754000</v>
      </c>
      <c r="F934" s="58">
        <f>VLOOKUP(E934,Comptes!$A$2:$B$60,2,FALSE)</f>
        <v>0</v>
      </c>
      <c r="G934" s="59" t="s">
        <v>170</v>
      </c>
      <c r="H934" s="59" t="s">
        <v>548</v>
      </c>
      <c r="I934" s="61">
        <v>9</v>
      </c>
      <c r="J934" s="35"/>
    </row>
    <row r="935" spans="1:10" ht="10.5">
      <c r="A935" s="173">
        <v>256246</v>
      </c>
      <c r="B935" s="57">
        <v>38957</v>
      </c>
      <c r="C935" s="60">
        <v>512000</v>
      </c>
      <c r="D935" s="58">
        <f>VLOOKUP(C935,Comptes!$A$2:$B$60,2,FALSE)</f>
        <v>0</v>
      </c>
      <c r="E935" s="60">
        <v>756000</v>
      </c>
      <c r="F935" s="58">
        <f>VLOOKUP(E935,Comptes!$A$2:$B$60,2,FALSE)</f>
        <v>0</v>
      </c>
      <c r="G935" s="59" t="s">
        <v>170</v>
      </c>
      <c r="H935" s="59" t="s">
        <v>548</v>
      </c>
      <c r="I935" s="61">
        <v>74</v>
      </c>
      <c r="J935" s="35"/>
    </row>
    <row r="936" spans="1:10" ht="10.5">
      <c r="A936" s="173">
        <v>256246</v>
      </c>
      <c r="B936" s="57">
        <v>38957</v>
      </c>
      <c r="C936" s="60">
        <v>512000</v>
      </c>
      <c r="D936" s="58">
        <f>VLOOKUP(C936,Comptes!$A$2:$B$60,2,FALSE)</f>
        <v>0</v>
      </c>
      <c r="E936" s="60">
        <v>708000</v>
      </c>
      <c r="F936" s="58">
        <f>VLOOKUP(E936,Comptes!$A$2:$B$60,2,FALSE)</f>
        <v>0</v>
      </c>
      <c r="G936" s="59" t="s">
        <v>170</v>
      </c>
      <c r="H936" s="59" t="s">
        <v>548</v>
      </c>
      <c r="I936" s="61">
        <v>27</v>
      </c>
      <c r="J936" s="35"/>
    </row>
    <row r="937" spans="1:10" ht="10.5">
      <c r="A937" s="173">
        <v>256246</v>
      </c>
      <c r="B937" s="57">
        <v>38957</v>
      </c>
      <c r="C937" s="60">
        <v>512000</v>
      </c>
      <c r="D937" s="58">
        <f>VLOOKUP(C937,Comptes!$A$2:$B$60,2,FALSE)</f>
        <v>0</v>
      </c>
      <c r="E937" s="60">
        <v>706210</v>
      </c>
      <c r="F937" s="58">
        <f>VLOOKUP(E937,Comptes!$A$2:$B$60,2,FALSE)</f>
        <v>0</v>
      </c>
      <c r="G937" s="59" t="s">
        <v>170</v>
      </c>
      <c r="H937" s="59" t="s">
        <v>548</v>
      </c>
      <c r="I937" s="61">
        <v>1000</v>
      </c>
      <c r="J937" s="35"/>
    </row>
    <row r="938" spans="1:10" ht="10.5">
      <c r="A938" s="173">
        <v>256246</v>
      </c>
      <c r="B938" s="57">
        <v>38957</v>
      </c>
      <c r="C938" s="60">
        <v>530000</v>
      </c>
      <c r="D938" s="58">
        <f>VLOOKUP(C938,Comptes!$A$2:$B$60,2,FALSE)</f>
        <v>0</v>
      </c>
      <c r="E938" s="60">
        <v>754000</v>
      </c>
      <c r="F938" s="58">
        <f>VLOOKUP(E938,Comptes!$A$2:$B$60,2,FALSE)</f>
        <v>0</v>
      </c>
      <c r="G938" s="59"/>
      <c r="H938" s="63"/>
      <c r="I938" s="61">
        <v>25</v>
      </c>
      <c r="J938" s="35"/>
    </row>
    <row r="939" spans="1:10" ht="10.5">
      <c r="A939" s="173">
        <v>256246</v>
      </c>
      <c r="B939" s="57">
        <v>38957</v>
      </c>
      <c r="C939" s="60">
        <v>530000</v>
      </c>
      <c r="D939" s="58">
        <f>VLOOKUP(C939,Comptes!$A$2:$B$60,2,FALSE)</f>
        <v>0</v>
      </c>
      <c r="E939" s="60">
        <v>706210</v>
      </c>
      <c r="F939" s="58">
        <f>VLOOKUP(E939,Comptes!$A$2:$B$60,2,FALSE)</f>
        <v>0</v>
      </c>
      <c r="G939" s="59"/>
      <c r="H939" s="63"/>
      <c r="I939" s="61">
        <v>644</v>
      </c>
      <c r="J939" s="35"/>
    </row>
    <row r="940" spans="1:10" ht="10.5">
      <c r="A940" s="173">
        <v>256246</v>
      </c>
      <c r="B940" s="57">
        <v>38957</v>
      </c>
      <c r="C940" s="60">
        <v>530000</v>
      </c>
      <c r="D940" s="58">
        <f>VLOOKUP(C940,Comptes!$A$2:$B$60,2,FALSE)</f>
        <v>0</v>
      </c>
      <c r="E940" s="60">
        <v>706220</v>
      </c>
      <c r="F940" s="58">
        <f>VLOOKUP(E940,Comptes!$A$2:$B$60,2,FALSE)</f>
        <v>0</v>
      </c>
      <c r="G940" s="59"/>
      <c r="H940" s="63"/>
      <c r="I940" s="61">
        <v>692</v>
      </c>
      <c r="J940" s="35"/>
    </row>
    <row r="941" spans="1:10" ht="10.5">
      <c r="A941" s="173">
        <v>256246</v>
      </c>
      <c r="B941" s="57">
        <v>38957</v>
      </c>
      <c r="C941" s="60">
        <v>530000</v>
      </c>
      <c r="D941" s="58">
        <f>VLOOKUP(C941,Comptes!$A$2:$B$60,2,FALSE)</f>
        <v>0</v>
      </c>
      <c r="E941" s="60">
        <v>706230</v>
      </c>
      <c r="F941" s="58">
        <f>VLOOKUP(E941,Comptes!$A$2:$B$60,2,FALSE)</f>
        <v>0</v>
      </c>
      <c r="G941" s="59"/>
      <c r="H941" s="63"/>
      <c r="I941" s="61">
        <v>1810.71</v>
      </c>
      <c r="J941" s="35"/>
    </row>
    <row r="942" spans="1:10" ht="10.5">
      <c r="A942" s="173">
        <v>256246</v>
      </c>
      <c r="B942" s="57">
        <v>38957</v>
      </c>
      <c r="C942" s="60">
        <v>530000</v>
      </c>
      <c r="D942" s="58">
        <f>VLOOKUP(C942,Comptes!$A$2:$B$60,2,FALSE)</f>
        <v>0</v>
      </c>
      <c r="E942" s="60">
        <v>756000</v>
      </c>
      <c r="F942" s="58">
        <f>VLOOKUP(E942,Comptes!$A$2:$B$60,2,FALSE)</f>
        <v>0</v>
      </c>
      <c r="G942" s="59"/>
      <c r="H942" s="63"/>
      <c r="I942" s="61">
        <v>169</v>
      </c>
      <c r="J942" s="35"/>
    </row>
    <row r="943" spans="1:10" ht="10.5">
      <c r="A943" s="173">
        <v>256246</v>
      </c>
      <c r="B943" s="57">
        <v>38957</v>
      </c>
      <c r="C943" s="60">
        <v>530000</v>
      </c>
      <c r="D943" s="58">
        <f>VLOOKUP(C943,Comptes!$A$2:$B$60,2,FALSE)</f>
        <v>0</v>
      </c>
      <c r="E943" s="60">
        <v>708000</v>
      </c>
      <c r="F943" s="58">
        <f>VLOOKUP(E943,Comptes!$A$2:$B$60,2,FALSE)</f>
        <v>0</v>
      </c>
      <c r="G943" s="59"/>
      <c r="H943" s="63"/>
      <c r="I943" s="61">
        <v>36</v>
      </c>
      <c r="J943" s="35"/>
    </row>
    <row r="944" spans="1:10" ht="10.5">
      <c r="A944" s="173">
        <v>256247</v>
      </c>
      <c r="B944" s="57">
        <v>38954</v>
      </c>
      <c r="C944" s="60">
        <v>615000</v>
      </c>
      <c r="D944" s="58">
        <f>VLOOKUP(C944,Comptes!$A$2:$B$60,2,FALSE)</f>
        <v>0</v>
      </c>
      <c r="E944" s="62">
        <v>512000</v>
      </c>
      <c r="F944" s="58">
        <f>VLOOKUP(E944,Comptes!$A$2:$B$60,2,FALSE)</f>
        <v>0</v>
      </c>
      <c r="G944" s="59" t="s">
        <v>557</v>
      </c>
      <c r="H944" s="59" t="s">
        <v>558</v>
      </c>
      <c r="I944" s="61">
        <v>287.04</v>
      </c>
      <c r="J944" s="35"/>
    </row>
    <row r="945" spans="1:10" ht="10.5">
      <c r="A945" s="173">
        <v>256248</v>
      </c>
      <c r="B945" s="57">
        <v>38954</v>
      </c>
      <c r="C945" s="60">
        <v>615000</v>
      </c>
      <c r="D945" s="58">
        <f>VLOOKUP(C945,Comptes!$A$2:$B$60,2,FALSE)</f>
        <v>0</v>
      </c>
      <c r="E945" s="62">
        <v>512000</v>
      </c>
      <c r="F945" s="58">
        <f>VLOOKUP(E945,Comptes!$A$2:$B$60,2,FALSE)</f>
        <v>0</v>
      </c>
      <c r="G945" s="59" t="s">
        <v>559</v>
      </c>
      <c r="H945" s="59" t="s">
        <v>558</v>
      </c>
      <c r="I945" s="61">
        <v>16</v>
      </c>
      <c r="J945" s="66"/>
    </row>
    <row r="946" spans="1:10" ht="10.5">
      <c r="A946" s="173">
        <v>256249</v>
      </c>
      <c r="B946" s="57">
        <v>38957</v>
      </c>
      <c r="C946" s="60">
        <v>626000</v>
      </c>
      <c r="D946" s="58">
        <f>VLOOKUP(C946,Comptes!$A$2:$B$60,2,FALSE)</f>
        <v>0</v>
      </c>
      <c r="E946" s="62">
        <v>530000</v>
      </c>
      <c r="F946" s="58">
        <f>VLOOKUP(E946,Comptes!$A$2:$B$60,2,FALSE)</f>
        <v>0</v>
      </c>
      <c r="G946" s="59"/>
      <c r="H946" s="63"/>
      <c r="I946" s="61">
        <v>376</v>
      </c>
      <c r="J946" s="66"/>
    </row>
    <row r="947" spans="1:10" ht="10.5">
      <c r="A947" s="173">
        <v>256250</v>
      </c>
      <c r="B947" s="57">
        <v>38957</v>
      </c>
      <c r="C947" s="60">
        <v>625000</v>
      </c>
      <c r="D947" s="58">
        <f>VLOOKUP(C947,Comptes!$A$2:$B$60,2,FALSE)</f>
        <v>0</v>
      </c>
      <c r="E947" s="62">
        <v>530000</v>
      </c>
      <c r="F947" s="58">
        <f>VLOOKUP(E947,Comptes!$A$2:$B$60,2,FALSE)</f>
        <v>0</v>
      </c>
      <c r="G947" s="59"/>
      <c r="H947" s="63"/>
      <c r="I947" s="61">
        <v>1098.51</v>
      </c>
      <c r="J947" s="35"/>
    </row>
    <row r="948" spans="1:10" ht="10.5">
      <c r="A948" s="173">
        <v>256251</v>
      </c>
      <c r="B948" s="57">
        <v>38957</v>
      </c>
      <c r="C948" s="60">
        <v>606700</v>
      </c>
      <c r="D948" s="58">
        <f>VLOOKUP(C948,Comptes!$A$2:$B$60,2,FALSE)</f>
        <v>0</v>
      </c>
      <c r="E948" s="59">
        <v>530000</v>
      </c>
      <c r="F948" s="58">
        <f>VLOOKUP(E948,Comptes!$A$2:$B$60,2,FALSE)</f>
        <v>0</v>
      </c>
      <c r="G948" s="59"/>
      <c r="H948" s="63"/>
      <c r="I948" s="61">
        <f>18.35+28</f>
        <v>46.35</v>
      </c>
      <c r="J948" s="35"/>
    </row>
    <row r="949" spans="1:10" ht="10.5">
      <c r="A949" s="173">
        <v>256252</v>
      </c>
      <c r="B949" s="57">
        <v>38957</v>
      </c>
      <c r="C949" s="60">
        <v>625000</v>
      </c>
      <c r="D949" s="58">
        <f>VLOOKUP(C949,Comptes!$A$2:$B$60,2,FALSE)</f>
        <v>0</v>
      </c>
      <c r="E949" s="59">
        <v>512000</v>
      </c>
      <c r="F949" s="58">
        <f>VLOOKUP(E949,Comptes!$A$2:$B$60,2,FALSE)</f>
        <v>0</v>
      </c>
      <c r="G949" s="59" t="s">
        <v>560</v>
      </c>
      <c r="H949" s="59" t="s">
        <v>558</v>
      </c>
      <c r="I949" s="61">
        <v>874</v>
      </c>
      <c r="J949" s="35"/>
    </row>
    <row r="950" spans="1:10" ht="10.5">
      <c r="A950" s="173">
        <v>256253</v>
      </c>
      <c r="B950" s="57">
        <v>38957</v>
      </c>
      <c r="C950" s="60">
        <v>625000</v>
      </c>
      <c r="D950" s="58">
        <f>VLOOKUP(C950,Comptes!$A$2:$B$60,2,FALSE)</f>
        <v>0</v>
      </c>
      <c r="E950" s="59">
        <v>512000</v>
      </c>
      <c r="F950" s="58">
        <f>VLOOKUP(E950,Comptes!$A$2:$B$60,2,FALSE)</f>
        <v>0</v>
      </c>
      <c r="G950" s="59" t="s">
        <v>561</v>
      </c>
      <c r="H950" s="59" t="s">
        <v>558</v>
      </c>
      <c r="I950" s="61">
        <v>232</v>
      </c>
      <c r="J950" s="35"/>
    </row>
    <row r="951" spans="1:10" ht="10.5">
      <c r="A951" s="173">
        <v>256253</v>
      </c>
      <c r="B951" s="57">
        <v>38957</v>
      </c>
      <c r="C951" s="60">
        <v>606700</v>
      </c>
      <c r="D951" s="58">
        <f>VLOOKUP(C951,Comptes!$A$2:$B$60,2,FALSE)</f>
        <v>0</v>
      </c>
      <c r="E951" s="59">
        <v>530000</v>
      </c>
      <c r="F951" s="58">
        <f>VLOOKUP(E951,Comptes!$A$2:$B$60,2,FALSE)</f>
        <v>0</v>
      </c>
      <c r="G951" s="59"/>
      <c r="H951" s="63"/>
      <c r="I951" s="61">
        <v>56.09</v>
      </c>
      <c r="J951" s="35"/>
    </row>
    <row r="952" spans="1:10" ht="10.5">
      <c r="A952" s="173">
        <v>256254</v>
      </c>
      <c r="B952" s="57">
        <v>38965</v>
      </c>
      <c r="C952" s="60">
        <v>530000</v>
      </c>
      <c r="D952" s="58">
        <f>VLOOKUP(C952,Comptes!$A$2:$B$60,2,FALSE)</f>
        <v>0</v>
      </c>
      <c r="E952" s="59">
        <v>756000</v>
      </c>
      <c r="F952" s="58">
        <f>VLOOKUP(E952,Comptes!$A$2:$B$60,2,FALSE)</f>
        <v>0</v>
      </c>
      <c r="G952" s="59"/>
      <c r="H952" s="63"/>
      <c r="I952" s="61">
        <v>10</v>
      </c>
      <c r="J952" s="35"/>
    </row>
    <row r="953" spans="1:10" ht="10.5">
      <c r="A953" s="173">
        <v>256254</v>
      </c>
      <c r="B953" s="57">
        <v>38965</v>
      </c>
      <c r="C953" s="60">
        <v>512000</v>
      </c>
      <c r="D953" s="58">
        <f>VLOOKUP(C953,Comptes!$A$2:$B$60,2,FALSE)</f>
        <v>0</v>
      </c>
      <c r="E953" s="59">
        <v>706320</v>
      </c>
      <c r="F953" s="58">
        <f>VLOOKUP(E953,Comptes!$A$2:$B$60,2,FALSE)</f>
        <v>0</v>
      </c>
      <c r="G953" s="59" t="s">
        <v>170</v>
      </c>
      <c r="H953" s="59" t="s">
        <v>558</v>
      </c>
      <c r="I953" s="61">
        <v>392</v>
      </c>
      <c r="J953" s="176"/>
    </row>
    <row r="954" spans="1:10" ht="10.5">
      <c r="A954" s="47">
        <v>256254</v>
      </c>
      <c r="B954" s="48">
        <v>38965</v>
      </c>
      <c r="C954" s="49">
        <v>512000</v>
      </c>
      <c r="D954" s="58">
        <f>VLOOKUP(C954,Comptes!$A$2:$B$60,2,FALSE)</f>
        <v>0</v>
      </c>
      <c r="E954" s="49">
        <v>511200</v>
      </c>
      <c r="F954" s="58">
        <f>VLOOKUP(E954,Comptes!$A$2:$B$60,2,FALSE)</f>
        <v>0</v>
      </c>
      <c r="G954" s="49" t="s">
        <v>170</v>
      </c>
      <c r="H954" s="59" t="s">
        <v>558</v>
      </c>
      <c r="I954" s="61">
        <v>476</v>
      </c>
      <c r="J954" s="35"/>
    </row>
    <row r="955" spans="1:10" ht="10.5">
      <c r="A955" s="173">
        <v>256254</v>
      </c>
      <c r="B955" s="57">
        <v>38965</v>
      </c>
      <c r="C955" s="60">
        <v>512000</v>
      </c>
      <c r="D955" s="58">
        <f>VLOOKUP(C955,Comptes!$A$2:$B$60,2,FALSE)</f>
        <v>0</v>
      </c>
      <c r="E955" s="59">
        <v>754000</v>
      </c>
      <c r="F955" s="58">
        <f>VLOOKUP(E955,Comptes!$A$2:$B$60,2,FALSE)</f>
        <v>0</v>
      </c>
      <c r="G955" s="59" t="s">
        <v>170</v>
      </c>
      <c r="H955" s="59" t="s">
        <v>558</v>
      </c>
      <c r="I955" s="61">
        <v>600</v>
      </c>
      <c r="J955" s="176"/>
    </row>
    <row r="956" spans="1:10" ht="10.5">
      <c r="A956" s="173">
        <v>256254</v>
      </c>
      <c r="B956" s="57">
        <v>38965</v>
      </c>
      <c r="C956" s="60">
        <v>706320</v>
      </c>
      <c r="D956" s="58">
        <f>VLOOKUP(C956,Comptes!$A$2:$B$60,2,FALSE)</f>
        <v>0</v>
      </c>
      <c r="E956" s="59">
        <v>530000</v>
      </c>
      <c r="F956" s="58">
        <f>VLOOKUP(E956,Comptes!$A$2:$B$60,2,FALSE)</f>
        <v>0</v>
      </c>
      <c r="G956" s="59"/>
      <c r="H956" s="59"/>
      <c r="I956" s="61">
        <v>130</v>
      </c>
      <c r="J956" s="35"/>
    </row>
    <row r="957" spans="1:10" ht="10.5">
      <c r="A957" s="173">
        <v>256254</v>
      </c>
      <c r="B957" s="57">
        <v>38965</v>
      </c>
      <c r="C957" s="60">
        <v>512000</v>
      </c>
      <c r="D957" s="58">
        <f>VLOOKUP(C957,Comptes!$A$2:$B$60,2,FALSE)</f>
        <v>0</v>
      </c>
      <c r="E957" s="59">
        <v>756000</v>
      </c>
      <c r="F957" s="58">
        <f>VLOOKUP(E957,Comptes!$A$2:$B$60,2,FALSE)</f>
        <v>0</v>
      </c>
      <c r="G957" s="59" t="s">
        <v>170</v>
      </c>
      <c r="H957" s="59" t="s">
        <v>558</v>
      </c>
      <c r="I957" s="61">
        <v>32</v>
      </c>
      <c r="J957" s="35"/>
    </row>
    <row r="958" spans="1:10" ht="10.5">
      <c r="A958" s="173">
        <v>256254</v>
      </c>
      <c r="B958" s="57">
        <v>38965</v>
      </c>
      <c r="C958" s="60">
        <v>512000</v>
      </c>
      <c r="D958" s="58">
        <f>VLOOKUP(C958,Comptes!$A$2:$B$60,2,FALSE)</f>
        <v>0</v>
      </c>
      <c r="E958" s="59">
        <v>708000</v>
      </c>
      <c r="F958" s="58">
        <f>VLOOKUP(E958,Comptes!$A$2:$B$60,2,FALSE)</f>
        <v>0</v>
      </c>
      <c r="G958" s="59" t="s">
        <v>170</v>
      </c>
      <c r="H958" s="59" t="s">
        <v>558</v>
      </c>
      <c r="I958" s="61">
        <v>9</v>
      </c>
      <c r="J958" s="35"/>
    </row>
    <row r="959" spans="1:10" ht="10.5">
      <c r="A959" s="173">
        <v>256255</v>
      </c>
      <c r="B959" s="57">
        <v>38965</v>
      </c>
      <c r="C959" s="60"/>
      <c r="D959" s="58"/>
      <c r="E959" s="59"/>
      <c r="F959" s="58"/>
      <c r="G959" s="59" t="s">
        <v>562</v>
      </c>
      <c r="H959" s="63"/>
      <c r="I959" s="61"/>
      <c r="J959" s="35"/>
    </row>
    <row r="960" spans="1:10" ht="10.5">
      <c r="A960" s="173">
        <v>256255</v>
      </c>
      <c r="B960" s="57">
        <v>38965</v>
      </c>
      <c r="C960" s="60">
        <v>625000</v>
      </c>
      <c r="D960" s="58">
        <f>VLOOKUP(C960,Comptes!$A$2:$B$60,2,FALSE)</f>
        <v>0</v>
      </c>
      <c r="E960" s="59">
        <v>530000</v>
      </c>
      <c r="F960" s="58">
        <f>VLOOKUP(E960,Comptes!$A$2:$B$60,2,FALSE)</f>
        <v>0</v>
      </c>
      <c r="G960" s="59"/>
      <c r="H960" s="63"/>
      <c r="I960" s="61">
        <v>200</v>
      </c>
      <c r="J960" s="35"/>
    </row>
    <row r="961" spans="1:10" ht="10.5">
      <c r="A961" s="173">
        <v>256255</v>
      </c>
      <c r="B961" s="57">
        <v>38965</v>
      </c>
      <c r="C961" s="60">
        <v>625000</v>
      </c>
      <c r="D961" s="58">
        <f>VLOOKUP(C961,Comptes!$A$2:$B$60,2,FALSE)</f>
        <v>0</v>
      </c>
      <c r="E961" s="59">
        <v>512000</v>
      </c>
      <c r="F961" s="58">
        <f>VLOOKUP(E961,Comptes!$A$2:$B$60,2,FALSE)</f>
        <v>0</v>
      </c>
      <c r="G961" s="59" t="s">
        <v>563</v>
      </c>
      <c r="H961" s="59" t="s">
        <v>537</v>
      </c>
      <c r="I961" s="61">
        <v>490</v>
      </c>
      <c r="J961" s="35"/>
    </row>
    <row r="962" spans="1:10" ht="10.5">
      <c r="A962" s="173">
        <v>256255</v>
      </c>
      <c r="B962" s="57">
        <v>38965</v>
      </c>
      <c r="C962" s="60">
        <v>622600</v>
      </c>
      <c r="D962" s="58">
        <f>VLOOKUP(C962,Comptes!$A$2:$B$60,2,FALSE)</f>
        <v>0</v>
      </c>
      <c r="E962" s="59">
        <v>512000</v>
      </c>
      <c r="F962" s="58">
        <f>VLOOKUP(E962,Comptes!$A$2:$B$60,2,FALSE)</f>
        <v>0</v>
      </c>
      <c r="G962" s="59" t="s">
        <v>564</v>
      </c>
      <c r="H962" s="59" t="s">
        <v>558</v>
      </c>
      <c r="I962" s="61">
        <v>1140</v>
      </c>
      <c r="J962" s="35"/>
    </row>
    <row r="963" spans="1:10" ht="10.5">
      <c r="A963" s="173">
        <v>256255</v>
      </c>
      <c r="B963" s="57">
        <v>38965</v>
      </c>
      <c r="C963" s="60">
        <v>622600</v>
      </c>
      <c r="D963" s="58">
        <f>VLOOKUP(C963,Comptes!$A$2:$B$60,2,FALSE)</f>
        <v>0</v>
      </c>
      <c r="E963" s="59">
        <v>512000</v>
      </c>
      <c r="F963" s="58">
        <f>VLOOKUP(E963,Comptes!$A$2:$B$60,2,FALSE)</f>
        <v>0</v>
      </c>
      <c r="G963" s="59" t="s">
        <v>565</v>
      </c>
      <c r="H963" s="59" t="s">
        <v>558</v>
      </c>
      <c r="I963" s="61">
        <v>1140</v>
      </c>
      <c r="J963" s="35"/>
    </row>
    <row r="964" spans="1:10" ht="10.5">
      <c r="A964" s="173">
        <v>256255</v>
      </c>
      <c r="B964" s="57">
        <v>38965</v>
      </c>
      <c r="C964" s="60">
        <v>625000</v>
      </c>
      <c r="D964" s="58">
        <f>VLOOKUP(C964,Comptes!$A$2:$B$60,2,FALSE)</f>
        <v>0</v>
      </c>
      <c r="E964" s="59">
        <v>512000</v>
      </c>
      <c r="F964" s="58">
        <f>VLOOKUP(E964,Comptes!$A$2:$B$60,2,FALSE)</f>
        <v>0</v>
      </c>
      <c r="G964" s="59" t="s">
        <v>565</v>
      </c>
      <c r="H964" s="59" t="s">
        <v>558</v>
      </c>
      <c r="I964" s="61">
        <v>255</v>
      </c>
      <c r="J964" s="35"/>
    </row>
    <row r="965" spans="1:10" ht="10.5">
      <c r="A965" s="173">
        <v>256256</v>
      </c>
      <c r="B965" s="57">
        <v>38965</v>
      </c>
      <c r="C965" s="60">
        <v>615000</v>
      </c>
      <c r="D965" s="58">
        <f>VLOOKUP(C965,Comptes!$A$2:$B$60,2,FALSE)</f>
        <v>0</v>
      </c>
      <c r="E965" s="59">
        <v>512000</v>
      </c>
      <c r="F965" s="58">
        <f>VLOOKUP(E965,Comptes!$A$2:$B$60,2,FALSE)</f>
        <v>0</v>
      </c>
      <c r="G965" s="59" t="s">
        <v>566</v>
      </c>
      <c r="H965" s="59" t="s">
        <v>558</v>
      </c>
      <c r="I965" s="61">
        <v>276.31</v>
      </c>
      <c r="J965" s="35"/>
    </row>
    <row r="966" spans="1:10" ht="10.5">
      <c r="A966" s="173">
        <v>256257</v>
      </c>
      <c r="B966" s="57">
        <v>38965</v>
      </c>
      <c r="C966" s="60">
        <v>615000</v>
      </c>
      <c r="D966" s="58">
        <f>VLOOKUP(C966,Comptes!$A$2:$B$60,2,FALSE)</f>
        <v>0</v>
      </c>
      <c r="E966" s="59">
        <v>512000</v>
      </c>
      <c r="F966" s="58">
        <f>VLOOKUP(E966,Comptes!$A$2:$B$60,2,FALSE)</f>
        <v>0</v>
      </c>
      <c r="G966" s="59" t="s">
        <v>567</v>
      </c>
      <c r="H966" s="59" t="s">
        <v>558</v>
      </c>
      <c r="I966" s="61">
        <v>40.89</v>
      </c>
      <c r="J966" s="35"/>
    </row>
    <row r="967" spans="1:10" ht="10.5">
      <c r="A967" s="173">
        <v>256258</v>
      </c>
      <c r="B967" s="57">
        <v>38965</v>
      </c>
      <c r="C967" s="60">
        <v>626500</v>
      </c>
      <c r="D967" s="58">
        <f>VLOOKUP(C967,Comptes!$A$2:$B$60,2,FALSE)</f>
        <v>0</v>
      </c>
      <c r="E967" s="59">
        <v>512000</v>
      </c>
      <c r="F967" s="58">
        <f>VLOOKUP(E967,Comptes!$A$2:$B$60,2,FALSE)</f>
        <v>0</v>
      </c>
      <c r="G967" s="59" t="s">
        <v>178</v>
      </c>
      <c r="H967" s="59" t="s">
        <v>558</v>
      </c>
      <c r="I967" s="61">
        <v>179.3</v>
      </c>
      <c r="J967" s="35"/>
    </row>
    <row r="968" spans="1:10" ht="10.5">
      <c r="A968" s="173">
        <v>256259</v>
      </c>
      <c r="B968" s="57">
        <v>38946</v>
      </c>
      <c r="C968" s="59">
        <v>512000</v>
      </c>
      <c r="D968" s="58">
        <f>VLOOKUP(C968,Comptes!$A$2:$B$60,2,FALSE)</f>
        <v>0</v>
      </c>
      <c r="E968" s="60">
        <v>754000</v>
      </c>
      <c r="F968" s="58">
        <f>VLOOKUP(E968,Comptes!$A$2:$B$60,2,FALSE)</f>
        <v>0</v>
      </c>
      <c r="G968" s="59" t="s">
        <v>171</v>
      </c>
      <c r="H968" s="59" t="s">
        <v>548</v>
      </c>
      <c r="I968" s="68">
        <v>30</v>
      </c>
      <c r="J968" s="64"/>
    </row>
    <row r="969" spans="1:10" ht="10.5">
      <c r="A969" s="173">
        <v>256259</v>
      </c>
      <c r="B969" s="57">
        <v>38929</v>
      </c>
      <c r="C969" s="60">
        <v>512000</v>
      </c>
      <c r="D969" s="58">
        <f>VLOOKUP(C969,Comptes!$A$2:$B$60,2,FALSE)</f>
        <v>0</v>
      </c>
      <c r="E969" s="60">
        <v>754000</v>
      </c>
      <c r="F969" s="58">
        <f>VLOOKUP(E969,Comptes!$A$2:$B$60,2,FALSE)</f>
        <v>0</v>
      </c>
      <c r="G969" s="59" t="s">
        <v>171</v>
      </c>
      <c r="H969" s="59" t="s">
        <v>548</v>
      </c>
      <c r="I969" s="61">
        <v>15.15</v>
      </c>
      <c r="J969" s="64"/>
    </row>
    <row r="970" spans="1:10" ht="10.5">
      <c r="A970" s="173">
        <v>256260</v>
      </c>
      <c r="B970" s="57">
        <v>38953</v>
      </c>
      <c r="C970" s="60">
        <v>626500</v>
      </c>
      <c r="D970" s="58">
        <f>VLOOKUP(C970,Comptes!$A$2:$B$60,2,FALSE)</f>
        <v>0</v>
      </c>
      <c r="E970" s="62">
        <v>512000</v>
      </c>
      <c r="F970" s="58">
        <f>VLOOKUP(E970,Comptes!$A$2:$B$60,2,FALSE)</f>
        <v>0</v>
      </c>
      <c r="G970" s="59" t="s">
        <v>178</v>
      </c>
      <c r="H970" s="59" t="s">
        <v>548</v>
      </c>
      <c r="I970" s="68">
        <v>41.45</v>
      </c>
      <c r="J970" s="35"/>
    </row>
    <row r="971" spans="1:10" ht="10.5">
      <c r="A971" s="173">
        <v>256261</v>
      </c>
      <c r="B971" s="57">
        <v>38973</v>
      </c>
      <c r="C971" s="60">
        <v>625000</v>
      </c>
      <c r="D971" s="58">
        <f>VLOOKUP(C971,Comptes!$A$2:$B$60,2,FALSE)</f>
        <v>0</v>
      </c>
      <c r="E971" s="62">
        <v>512000</v>
      </c>
      <c r="F971" s="58">
        <f>VLOOKUP(E971,Comptes!$A$2:$B$60,2,FALSE)</f>
        <v>0</v>
      </c>
      <c r="G971" s="59" t="s">
        <v>568</v>
      </c>
      <c r="H971" s="59" t="s">
        <v>558</v>
      </c>
      <c r="I971" s="68">
        <v>1080.7</v>
      </c>
      <c r="J971" s="35"/>
    </row>
    <row r="972" spans="1:10" ht="10.5">
      <c r="A972" s="173">
        <v>256261</v>
      </c>
      <c r="B972" s="57">
        <v>38973</v>
      </c>
      <c r="C972" s="60">
        <v>625000</v>
      </c>
      <c r="D972" s="58">
        <f>VLOOKUP(C972,Comptes!$A$2:$B$60,2,FALSE)</f>
        <v>0</v>
      </c>
      <c r="E972" s="62">
        <v>512000</v>
      </c>
      <c r="F972" s="58">
        <f>VLOOKUP(E972,Comptes!$A$2:$B$60,2,FALSE)</f>
        <v>0</v>
      </c>
      <c r="G972" s="59" t="s">
        <v>568</v>
      </c>
      <c r="H972" s="59" t="s">
        <v>558</v>
      </c>
      <c r="I972" s="68">
        <v>21</v>
      </c>
      <c r="J972" s="35"/>
    </row>
    <row r="973" spans="1:10" ht="10.5">
      <c r="A973" s="173">
        <v>256261</v>
      </c>
      <c r="B973" s="57">
        <v>38973</v>
      </c>
      <c r="C973" s="60">
        <v>606400</v>
      </c>
      <c r="D973" s="58">
        <f>VLOOKUP(C973,Comptes!$A$2:$B$60,2,FALSE)</f>
        <v>0</v>
      </c>
      <c r="E973" s="62">
        <v>512000</v>
      </c>
      <c r="F973" s="58">
        <f>VLOOKUP(E973,Comptes!$A$2:$B$60,2,FALSE)</f>
        <v>0</v>
      </c>
      <c r="G973" s="59" t="s">
        <v>568</v>
      </c>
      <c r="H973" s="59" t="s">
        <v>558</v>
      </c>
      <c r="I973" s="68">
        <f>39+37.2+71.67</f>
        <v>147.87</v>
      </c>
      <c r="J973" s="35"/>
    </row>
    <row r="974" spans="1:10" ht="10.5">
      <c r="A974" s="173">
        <v>256262</v>
      </c>
      <c r="B974" s="57">
        <v>38970</v>
      </c>
      <c r="C974" s="60">
        <v>613200</v>
      </c>
      <c r="D974" s="58">
        <f>VLOOKUP(C974,Comptes!$A$2:$B$60,2,FALSE)</f>
        <v>0</v>
      </c>
      <c r="E974" s="62">
        <v>512000</v>
      </c>
      <c r="F974" s="58">
        <f>VLOOKUP(E974,Comptes!$A$2:$B$60,2,FALSE)</f>
        <v>0</v>
      </c>
      <c r="G974" s="59" t="s">
        <v>178</v>
      </c>
      <c r="H974" s="59" t="s">
        <v>558</v>
      </c>
      <c r="I974" s="61">
        <v>989.21</v>
      </c>
      <c r="J974" s="64"/>
    </row>
    <row r="975" spans="1:10" ht="10.5">
      <c r="A975" s="65">
        <v>256173</v>
      </c>
      <c r="B975" s="57">
        <v>38973</v>
      </c>
      <c r="C975" s="60">
        <v>606110</v>
      </c>
      <c r="D975" s="58">
        <f>VLOOKUP(C975,Comptes!$A$2:$B$60,2,FALSE)</f>
        <v>0</v>
      </c>
      <c r="E975" s="59">
        <v>512000</v>
      </c>
      <c r="F975" s="58">
        <f>VLOOKUP(E975,Comptes!$A$2:$B$60,2,FALSE)</f>
        <v>0</v>
      </c>
      <c r="G975" s="36" t="s">
        <v>178</v>
      </c>
      <c r="H975" s="59" t="s">
        <v>558</v>
      </c>
      <c r="I975" s="37">
        <v>147</v>
      </c>
      <c r="J975" s="35"/>
    </row>
    <row r="976" spans="1:10" ht="10.5">
      <c r="A976" s="173">
        <v>256263</v>
      </c>
      <c r="B976" s="57">
        <v>38973</v>
      </c>
      <c r="C976" s="60">
        <v>625000</v>
      </c>
      <c r="D976" s="58">
        <f>VLOOKUP(C976,Comptes!$A$2:$B$60,2,FALSE)</f>
        <v>0</v>
      </c>
      <c r="E976" s="62">
        <v>512000</v>
      </c>
      <c r="F976" s="58">
        <f>VLOOKUP(E976,Comptes!$A$2:$B$60,2,FALSE)</f>
        <v>0</v>
      </c>
      <c r="G976" s="59" t="s">
        <v>569</v>
      </c>
      <c r="H976" s="59" t="s">
        <v>537</v>
      </c>
      <c r="I976" s="68">
        <v>162.74</v>
      </c>
      <c r="J976" s="35"/>
    </row>
    <row r="977" spans="1:10" ht="10.5">
      <c r="A977" s="173">
        <v>256264</v>
      </c>
      <c r="B977" s="57">
        <v>38973</v>
      </c>
      <c r="C977" s="60">
        <v>512000</v>
      </c>
      <c r="D977" s="58">
        <f>VLOOKUP(C977,Comptes!$A$2:$B$60,2,FALSE)</f>
        <v>0</v>
      </c>
      <c r="E977" s="62">
        <v>754000</v>
      </c>
      <c r="F977" s="58">
        <f>VLOOKUP(E977,Comptes!$A$2:$B$60,2,FALSE)</f>
        <v>0</v>
      </c>
      <c r="G977" s="59" t="s">
        <v>170</v>
      </c>
      <c r="H977" s="59" t="s">
        <v>558</v>
      </c>
      <c r="I977" s="68">
        <v>158</v>
      </c>
      <c r="J977" s="179"/>
    </row>
    <row r="978" spans="1:10" ht="10.5">
      <c r="A978" s="173">
        <v>256264</v>
      </c>
      <c r="B978" s="57">
        <v>38973</v>
      </c>
      <c r="C978" s="60">
        <v>512000</v>
      </c>
      <c r="D978" s="58">
        <f>VLOOKUP(C978,Comptes!$A$2:$B$60,2,FALSE)</f>
        <v>0</v>
      </c>
      <c r="E978" s="62">
        <v>706220</v>
      </c>
      <c r="F978" s="58">
        <f>VLOOKUP(E978,Comptes!$A$2:$B$60,2,FALSE)</f>
        <v>0</v>
      </c>
      <c r="G978" s="59" t="s">
        <v>170</v>
      </c>
      <c r="H978" s="59" t="s">
        <v>558</v>
      </c>
      <c r="I978" s="68">
        <v>25</v>
      </c>
      <c r="J978" s="35"/>
    </row>
    <row r="979" spans="1:10" ht="10.5">
      <c r="A979" s="173">
        <v>256264</v>
      </c>
      <c r="B979" s="57">
        <v>38973</v>
      </c>
      <c r="C979" s="60">
        <v>512000</v>
      </c>
      <c r="D979" s="58">
        <f>VLOOKUP(C979,Comptes!$A$2:$B$60,2,FALSE)</f>
        <v>0</v>
      </c>
      <c r="E979" s="62">
        <v>706230</v>
      </c>
      <c r="F979" s="58">
        <f>VLOOKUP(E979,Comptes!$A$2:$B$60,2,FALSE)</f>
        <v>0</v>
      </c>
      <c r="G979" s="59" t="s">
        <v>170</v>
      </c>
      <c r="H979" s="59" t="s">
        <v>558</v>
      </c>
      <c r="I979" s="68">
        <v>25</v>
      </c>
      <c r="J979" s="35"/>
    </row>
    <row r="980" spans="1:10" ht="10.5">
      <c r="A980" s="173">
        <v>256264</v>
      </c>
      <c r="B980" s="57">
        <v>38973</v>
      </c>
      <c r="C980" s="60">
        <v>512000</v>
      </c>
      <c r="D980" s="58">
        <f>VLOOKUP(C980,Comptes!$A$2:$B$60,2,FALSE)</f>
        <v>0</v>
      </c>
      <c r="E980" s="62">
        <v>756000</v>
      </c>
      <c r="F980" s="58">
        <f>VLOOKUP(E980,Comptes!$A$2:$B$60,2,FALSE)</f>
        <v>0</v>
      </c>
      <c r="G980" s="59" t="s">
        <v>170</v>
      </c>
      <c r="H980" s="59" t="s">
        <v>558</v>
      </c>
      <c r="I980" s="68">
        <v>416</v>
      </c>
      <c r="J980" s="35"/>
    </row>
    <row r="981" spans="1:10" ht="10.5">
      <c r="A981" s="173">
        <v>256264</v>
      </c>
      <c r="B981" s="57">
        <v>38973</v>
      </c>
      <c r="C981" s="60">
        <v>512000</v>
      </c>
      <c r="D981" s="58">
        <f>VLOOKUP(C981,Comptes!$A$2:$B$60,2,FALSE)</f>
        <v>0</v>
      </c>
      <c r="E981" s="62">
        <v>708000</v>
      </c>
      <c r="F981" s="58">
        <f>VLOOKUP(E981,Comptes!$A$2:$B$60,2,FALSE)</f>
        <v>0</v>
      </c>
      <c r="G981" s="59" t="s">
        <v>170</v>
      </c>
      <c r="H981" s="59" t="s">
        <v>558</v>
      </c>
      <c r="I981" s="68">
        <v>90</v>
      </c>
      <c r="J981" s="35"/>
    </row>
    <row r="982" spans="1:10" ht="10.5">
      <c r="A982" s="173">
        <v>256265</v>
      </c>
      <c r="B982" s="57">
        <v>38974</v>
      </c>
      <c r="C982" s="60">
        <v>626500</v>
      </c>
      <c r="D982" s="58">
        <f>VLOOKUP(C982,Comptes!$A$2:$B$60,2,FALSE)</f>
        <v>0</v>
      </c>
      <c r="E982" s="59">
        <v>512000</v>
      </c>
      <c r="F982" s="58">
        <f>VLOOKUP(E982,Comptes!$A$2:$B$60,2,FALSE)</f>
        <v>0</v>
      </c>
      <c r="G982" s="36" t="s">
        <v>178</v>
      </c>
      <c r="H982" s="59" t="s">
        <v>558</v>
      </c>
      <c r="I982" s="61">
        <v>19.9</v>
      </c>
      <c r="J982" s="35"/>
    </row>
    <row r="983" spans="1:10" ht="10.5">
      <c r="A983" s="173">
        <v>256266</v>
      </c>
      <c r="B983" s="57">
        <v>38978</v>
      </c>
      <c r="C983" s="60">
        <v>625000</v>
      </c>
      <c r="D983" s="58">
        <f>VLOOKUP(C983,Comptes!$A$2:$B$60,2,FALSE)</f>
        <v>0</v>
      </c>
      <c r="E983" s="62">
        <v>530000</v>
      </c>
      <c r="F983" s="58">
        <f>VLOOKUP(E983,Comptes!$A$2:$B$60,2,FALSE)</f>
        <v>0</v>
      </c>
      <c r="G983" s="59"/>
      <c r="H983" s="63"/>
      <c r="I983" s="68">
        <v>644.16</v>
      </c>
      <c r="J983" s="35"/>
    </row>
    <row r="984" spans="1:10" ht="10.5">
      <c r="A984" s="173">
        <v>256267</v>
      </c>
      <c r="B984" s="57">
        <v>38979</v>
      </c>
      <c r="C984" s="60">
        <v>512000</v>
      </c>
      <c r="D984" s="58">
        <f>VLOOKUP(C984,Comptes!$A$2:$B$60,2,FALSE)</f>
        <v>0</v>
      </c>
      <c r="E984" s="62">
        <v>754000</v>
      </c>
      <c r="F984" s="58">
        <f>VLOOKUP(E984,Comptes!$A$2:$B$60,2,FALSE)</f>
        <v>0</v>
      </c>
      <c r="G984" s="59" t="s">
        <v>170</v>
      </c>
      <c r="H984" s="59" t="s">
        <v>537</v>
      </c>
      <c r="I984" s="68">
        <v>82</v>
      </c>
      <c r="J984" s="35"/>
    </row>
    <row r="985" spans="1:10" ht="10.5">
      <c r="A985" s="173">
        <v>256267</v>
      </c>
      <c r="B985" s="57">
        <v>38979</v>
      </c>
      <c r="C985" s="60">
        <v>512000</v>
      </c>
      <c r="D985" s="58">
        <f>VLOOKUP(C985,Comptes!$A$2:$B$60,2,FALSE)</f>
        <v>0</v>
      </c>
      <c r="E985" s="62">
        <v>706230</v>
      </c>
      <c r="F985" s="58">
        <f>VLOOKUP(E985,Comptes!$A$2:$B$60,2,FALSE)</f>
        <v>0</v>
      </c>
      <c r="G985" s="59" t="s">
        <v>170</v>
      </c>
      <c r="H985" s="59" t="s">
        <v>537</v>
      </c>
      <c r="I985" s="68">
        <v>25</v>
      </c>
      <c r="J985" s="35"/>
    </row>
    <row r="986" spans="1:10" ht="10.5">
      <c r="A986" s="173">
        <v>256267</v>
      </c>
      <c r="B986" s="57">
        <v>38979</v>
      </c>
      <c r="C986" s="60">
        <v>512000</v>
      </c>
      <c r="D986" s="58">
        <f>VLOOKUP(C986,Comptes!$A$2:$B$60,2,FALSE)</f>
        <v>0</v>
      </c>
      <c r="E986" s="62">
        <v>756000</v>
      </c>
      <c r="F986" s="58">
        <f>VLOOKUP(E986,Comptes!$A$2:$B$60,2,FALSE)</f>
        <v>0</v>
      </c>
      <c r="G986" s="59" t="s">
        <v>170</v>
      </c>
      <c r="H986" s="59" t="s">
        <v>537</v>
      </c>
      <c r="I986" s="68">
        <v>298</v>
      </c>
      <c r="J986" s="35"/>
    </row>
    <row r="987" spans="1:10" ht="10.5">
      <c r="A987" s="173">
        <v>256267</v>
      </c>
      <c r="B987" s="57">
        <v>38979</v>
      </c>
      <c r="C987" s="60">
        <v>512000</v>
      </c>
      <c r="D987" s="58">
        <f>VLOOKUP(C987,Comptes!$A$2:$B$60,2,FALSE)</f>
        <v>0</v>
      </c>
      <c r="E987" s="62">
        <v>708000</v>
      </c>
      <c r="F987" s="58">
        <f>VLOOKUP(E987,Comptes!$A$2:$B$60,2,FALSE)</f>
        <v>0</v>
      </c>
      <c r="G987" s="59" t="s">
        <v>170</v>
      </c>
      <c r="H987" s="59" t="s">
        <v>537</v>
      </c>
      <c r="I987" s="68">
        <v>72</v>
      </c>
      <c r="J987" s="179"/>
    </row>
    <row r="988" spans="1:10" ht="10.5">
      <c r="A988" s="173">
        <v>256268</v>
      </c>
      <c r="B988" s="57">
        <v>38986</v>
      </c>
      <c r="C988" s="60">
        <v>606400</v>
      </c>
      <c r="D988" s="58">
        <f>VLOOKUP(C988,Comptes!$A$2:$B$60,2,FALSE)</f>
        <v>0</v>
      </c>
      <c r="E988" s="62">
        <v>530000</v>
      </c>
      <c r="F988" s="58">
        <f>VLOOKUP(E988,Comptes!$A$2:$B$60,2,FALSE)</f>
        <v>0</v>
      </c>
      <c r="G988" s="59"/>
      <c r="H988" s="63"/>
      <c r="I988" s="68">
        <v>27.57</v>
      </c>
      <c r="J988" s="35"/>
    </row>
    <row r="989" spans="1:10" ht="10.5">
      <c r="A989" s="173">
        <v>256269</v>
      </c>
      <c r="B989" s="57">
        <v>38986</v>
      </c>
      <c r="C989" s="60">
        <v>512000</v>
      </c>
      <c r="D989" s="58">
        <f>VLOOKUP(C989,Comptes!$A$2:$B$60,2,FALSE)</f>
        <v>0</v>
      </c>
      <c r="E989" s="62">
        <v>754000</v>
      </c>
      <c r="F989" s="58">
        <f>VLOOKUP(E989,Comptes!$A$2:$B$60,2,FALSE)</f>
        <v>0</v>
      </c>
      <c r="G989" s="59" t="s">
        <v>170</v>
      </c>
      <c r="H989" s="59" t="s">
        <v>537</v>
      </c>
      <c r="I989" s="68">
        <v>474</v>
      </c>
      <c r="J989" s="35"/>
    </row>
    <row r="990" spans="1:10" ht="10.5">
      <c r="A990" s="173">
        <v>256269</v>
      </c>
      <c r="B990" s="57">
        <v>38986</v>
      </c>
      <c r="C990" s="60">
        <v>512000</v>
      </c>
      <c r="D990" s="58">
        <f>VLOOKUP(C990,Comptes!$A$2:$B$60,2,FALSE)</f>
        <v>0</v>
      </c>
      <c r="E990" s="62">
        <v>706230</v>
      </c>
      <c r="F990" s="58">
        <f>VLOOKUP(E990,Comptes!$A$2:$B$60,2,FALSE)</f>
        <v>0</v>
      </c>
      <c r="G990" s="59" t="s">
        <v>170</v>
      </c>
      <c r="H990" s="59" t="s">
        <v>537</v>
      </c>
      <c r="I990" s="68">
        <v>25</v>
      </c>
      <c r="J990" s="35"/>
    </row>
    <row r="991" spans="1:10" ht="10.5">
      <c r="A991" s="173">
        <v>256269</v>
      </c>
      <c r="B991" s="57">
        <v>38986</v>
      </c>
      <c r="C991" s="60">
        <v>512000</v>
      </c>
      <c r="D991" s="58">
        <f>VLOOKUP(C991,Comptes!$A$2:$B$60,2,FALSE)</f>
        <v>0</v>
      </c>
      <c r="E991" s="62">
        <v>756000</v>
      </c>
      <c r="F991" s="58">
        <f>VLOOKUP(E991,Comptes!$A$2:$B$60,2,FALSE)</f>
        <v>0</v>
      </c>
      <c r="G991" s="59" t="s">
        <v>170</v>
      </c>
      <c r="H991" s="59" t="s">
        <v>537</v>
      </c>
      <c r="I991" s="68">
        <v>746</v>
      </c>
      <c r="J991" s="35"/>
    </row>
    <row r="992" spans="1:10" ht="10.5">
      <c r="A992" s="173">
        <v>256269</v>
      </c>
      <c r="B992" s="57">
        <v>38986</v>
      </c>
      <c r="C992" s="60">
        <v>512000</v>
      </c>
      <c r="D992" s="58">
        <f>VLOOKUP(C992,Comptes!$A$2:$B$60,2,FALSE)</f>
        <v>0</v>
      </c>
      <c r="E992" s="62">
        <v>708000</v>
      </c>
      <c r="F992" s="58">
        <f>VLOOKUP(E992,Comptes!$A$2:$B$60,2,FALSE)</f>
        <v>0</v>
      </c>
      <c r="G992" s="59" t="s">
        <v>170</v>
      </c>
      <c r="H992" s="59" t="s">
        <v>537</v>
      </c>
      <c r="I992" s="68">
        <v>207</v>
      </c>
      <c r="J992" s="179"/>
    </row>
    <row r="993" spans="1:10" ht="10.5">
      <c r="A993" s="173">
        <v>256269</v>
      </c>
      <c r="B993" s="57">
        <v>38986</v>
      </c>
      <c r="C993" s="60">
        <v>530000</v>
      </c>
      <c r="D993" s="58">
        <f>VLOOKUP(C993,Comptes!$A$2:$B$60,2,FALSE)</f>
        <v>0</v>
      </c>
      <c r="E993" s="62">
        <v>756000</v>
      </c>
      <c r="F993" s="58">
        <f>VLOOKUP(E993,Comptes!$A$2:$B$60,2,FALSE)</f>
        <v>0</v>
      </c>
      <c r="G993" s="59"/>
      <c r="H993" s="63"/>
      <c r="I993" s="68">
        <v>31</v>
      </c>
      <c r="J993" s="35"/>
    </row>
    <row r="994" spans="1:10" ht="10.5">
      <c r="A994" s="173">
        <v>256269</v>
      </c>
      <c r="B994" s="57">
        <v>38986</v>
      </c>
      <c r="C994" s="60">
        <v>530000</v>
      </c>
      <c r="D994" s="58">
        <f>VLOOKUP(C994,Comptes!$A$2:$B$60,2,FALSE)</f>
        <v>0</v>
      </c>
      <c r="E994" s="62">
        <v>708000</v>
      </c>
      <c r="F994" s="58">
        <f>VLOOKUP(E994,Comptes!$A$2:$B$60,2,FALSE)</f>
        <v>0</v>
      </c>
      <c r="G994" s="59"/>
      <c r="H994" s="63"/>
      <c r="I994" s="68">
        <v>9</v>
      </c>
      <c r="J994" s="35"/>
    </row>
    <row r="995" spans="1:10" ht="10.5">
      <c r="A995" s="173">
        <v>256270</v>
      </c>
      <c r="B995" s="57">
        <v>38965</v>
      </c>
      <c r="C995" s="60">
        <v>512000</v>
      </c>
      <c r="D995" s="58">
        <f>VLOOKUP(C995,Comptes!$A$2:$B$60,2,FALSE)</f>
        <v>0</v>
      </c>
      <c r="E995" s="59">
        <v>754000</v>
      </c>
      <c r="F995" s="58">
        <f>VLOOKUP(E995,Comptes!$A$2:$B$60,2,FALSE)</f>
        <v>0</v>
      </c>
      <c r="G995" s="59" t="s">
        <v>171</v>
      </c>
      <c r="H995" s="59" t="s">
        <v>558</v>
      </c>
      <c r="I995" s="61">
        <v>150</v>
      </c>
      <c r="J995" s="64"/>
    </row>
    <row r="996" spans="1:10" ht="10.5">
      <c r="A996" s="173">
        <v>256270</v>
      </c>
      <c r="B996" s="57">
        <v>38968</v>
      </c>
      <c r="C996" s="60">
        <v>512000</v>
      </c>
      <c r="D996" s="58">
        <f>VLOOKUP(C996,Comptes!$A$2:$B$60,2,FALSE)</f>
        <v>0</v>
      </c>
      <c r="E996" s="59">
        <v>754000</v>
      </c>
      <c r="F996" s="58">
        <f>VLOOKUP(E996,Comptes!$A$2:$B$60,2,FALSE)</f>
        <v>0</v>
      </c>
      <c r="G996" s="59" t="s">
        <v>171</v>
      </c>
      <c r="H996" s="59" t="s">
        <v>558</v>
      </c>
      <c r="I996" s="61">
        <v>15</v>
      </c>
      <c r="J996" s="64"/>
    </row>
    <row r="997" spans="1:10" ht="10.5">
      <c r="A997" s="173">
        <v>256270</v>
      </c>
      <c r="B997" s="57">
        <v>38968</v>
      </c>
      <c r="C997" s="60">
        <v>512000</v>
      </c>
      <c r="D997" s="58">
        <f>VLOOKUP(C997,Comptes!$A$2:$B$60,2,FALSE)</f>
        <v>0</v>
      </c>
      <c r="E997" s="59">
        <v>754000</v>
      </c>
      <c r="F997" s="58">
        <f>VLOOKUP(E997,Comptes!$A$2:$B$60,2,FALSE)</f>
        <v>0</v>
      </c>
      <c r="G997" s="59" t="s">
        <v>171</v>
      </c>
      <c r="H997" s="59" t="s">
        <v>558</v>
      </c>
      <c r="I997" s="61">
        <v>30</v>
      </c>
      <c r="J997" s="35"/>
    </row>
    <row r="998" spans="1:10" ht="10.5">
      <c r="A998" s="173">
        <v>256271</v>
      </c>
      <c r="B998" s="57">
        <v>38986</v>
      </c>
      <c r="C998" s="60">
        <v>613100</v>
      </c>
      <c r="D998" s="58">
        <f>VLOOKUP(C998,Comptes!$A$2:$B$60,2,FALSE)</f>
        <v>0</v>
      </c>
      <c r="E998" s="62">
        <v>512000</v>
      </c>
      <c r="F998" s="58">
        <f>VLOOKUP(E998,Comptes!$A$2:$B$60,2,FALSE)</f>
        <v>0</v>
      </c>
      <c r="G998" s="59" t="s">
        <v>570</v>
      </c>
      <c r="H998" s="59" t="s">
        <v>537</v>
      </c>
      <c r="I998" s="61">
        <v>835</v>
      </c>
      <c r="J998" s="66"/>
    </row>
    <row r="999" spans="1:10" ht="10.5">
      <c r="A999" s="173">
        <v>256167</v>
      </c>
      <c r="B999" s="57">
        <v>38846</v>
      </c>
      <c r="C999" s="60">
        <v>706320</v>
      </c>
      <c r="D999" s="58">
        <f>VLOOKUP(C999,Comptes!$A$2:$B$60,2,FALSE)</f>
        <v>0</v>
      </c>
      <c r="E999" s="59">
        <v>468600</v>
      </c>
      <c r="F999" s="58">
        <f>VLOOKUP(E999,Comptes!$A$2:$B$60,2,FALSE)</f>
        <v>0</v>
      </c>
      <c r="G999" s="59"/>
      <c r="H999" s="59"/>
      <c r="I999" s="61">
        <v>285</v>
      </c>
      <c r="J999" s="35"/>
    </row>
    <row r="1000" spans="1:10" ht="10.5">
      <c r="A1000" s="76"/>
      <c r="B1000" s="57">
        <v>38990</v>
      </c>
      <c r="C1000" s="60">
        <v>630000</v>
      </c>
      <c r="D1000" s="58">
        <f>VLOOKUP(C1000,Comptes!$A$2:$B$60,2,FALSE)</f>
        <v>0</v>
      </c>
      <c r="E1000" s="59">
        <v>468600</v>
      </c>
      <c r="F1000" s="58">
        <f>VLOOKUP(E1000,Comptes!$A$2:$B$60,2,FALSE)</f>
        <v>0</v>
      </c>
      <c r="G1000" s="59"/>
      <c r="H1000" s="59"/>
      <c r="I1000" s="37">
        <f>3514*3/4</f>
        <v>2635.5</v>
      </c>
      <c r="J1000" s="35"/>
    </row>
    <row r="1001" spans="1:10" ht="10.5">
      <c r="A1001" s="173">
        <v>256220</v>
      </c>
      <c r="B1001" s="57">
        <v>38910</v>
      </c>
      <c r="C1001" s="59">
        <v>511200</v>
      </c>
      <c r="D1001" s="58">
        <f>VLOOKUP(C1001,Comptes!$A$2:$B$60,2,FALSE)</f>
        <v>0</v>
      </c>
      <c r="E1001" s="59">
        <v>512000</v>
      </c>
      <c r="F1001" s="58">
        <f>VLOOKUP(E1001,Comptes!$A$2:$B$60,2,FALSE)</f>
        <v>0</v>
      </c>
      <c r="G1001" s="59" t="s">
        <v>164</v>
      </c>
      <c r="H1001" s="59"/>
      <c r="I1001" s="68">
        <v>30</v>
      </c>
      <c r="J1001" s="64"/>
    </row>
    <row r="1002" ht="10.5">
      <c r="A1002" s="77" t="s">
        <v>571</v>
      </c>
    </row>
  </sheetData>
  <sheetProtection selectLockedCells="1" selectUnlockedCells="1"/>
  <autoFilter ref="A1:J1001"/>
  <printOptions horizontalCentered="1"/>
  <pageMargins left="0.27569444444444446" right="0.27569444444444446" top="0.5666666666666667" bottom="0.31527777777777777" header="0.31527777777777777" footer="0.5118055555555555"/>
  <pageSetup horizontalDpi="300" verticalDpi="300" orientation="landscape" paperSize="9"/>
  <headerFooter alignWithMargins="0">
    <oddHeader>&amp;L&amp;10Edition du &amp;D&amp;C&amp;"Arial,Gras"&amp;11Ecritures de l'année précédente&amp;R&amp;10Page &amp;P/&amp;N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Exemple de comptabilité</dc:title>
  <dc:subject/>
  <dc:creator/>
  <cp:keywords/>
  <dc:description/>
  <cp:lastModifiedBy/>
  <dcterms:created xsi:type="dcterms:W3CDTF">2007-04-17T17:13:11Z</dcterms:created>
  <dcterms:modified xsi:type="dcterms:W3CDTF">2007-04-23T09:36:53Z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